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egisztrált névsor" sheetId="1" r:id="rId1"/>
    <sheet name="Műszaki" sheetId="2" r:id="rId2"/>
    <sheet name="Összes" sheetId="3" r:id="rId3"/>
    <sheet name="Díjak" sheetId="4" r:id="rId4"/>
  </sheets>
  <definedNames>
    <definedName name="_xlnm.Print_Area" localSheetId="1">'Műszaki'!$A$3:$O$22</definedName>
  </definedNames>
  <calcPr fullCalcOnLoad="1"/>
</workbook>
</file>

<file path=xl/comments3.xml><?xml version="1.0" encoding="utf-8"?>
<comments xmlns="http://schemas.openxmlformats.org/spreadsheetml/2006/main">
  <authors>
    <author>enikpekk</author>
  </authors>
  <commentList>
    <comment ref="R4" authorId="0">
      <text>
        <r>
          <rPr>
            <b/>
            <sz val="8"/>
            <rFont val="Tahoma"/>
            <family val="0"/>
          </rPr>
          <t>enikpekk:</t>
        </r>
        <r>
          <rPr>
            <sz val="8"/>
            <rFont val="Tahoma"/>
            <family val="0"/>
          </rPr>
          <t xml:space="preserve">
ha nem indul a csapat, akkor üresen kell hagyni, vagy "n.a."-val kell kitölteni, nem szabad 0-t beírni!!</t>
        </r>
      </text>
    </comment>
    <comment ref="I4" authorId="0">
      <text>
        <r>
          <rPr>
            <b/>
            <sz val="8"/>
            <rFont val="Tahoma"/>
            <family val="0"/>
          </rPr>
          <t>enikpekk:</t>
        </r>
        <r>
          <rPr>
            <sz val="8"/>
            <rFont val="Tahoma"/>
            <family val="0"/>
          </rPr>
          <t xml:space="preserve">
ha nem indul a csapat vagy nem teljesíti a kört, üresen kell hagyni az I és J oszlopokat, vagy 0-t kell beírni!!</t>
        </r>
      </text>
    </comment>
  </commentList>
</comments>
</file>

<file path=xl/sharedStrings.xml><?xml version="1.0" encoding="utf-8"?>
<sst xmlns="http://schemas.openxmlformats.org/spreadsheetml/2006/main" count="210" uniqueCount="123">
  <si>
    <t>Csapat</t>
  </si>
  <si>
    <t>Oktatási intézmény</t>
  </si>
  <si>
    <t>Csapattagok</t>
  </si>
  <si>
    <t>Kapcsolattartó</t>
  </si>
  <si>
    <t>KeSzKoSz</t>
  </si>
  <si>
    <t>Támogató oktató</t>
  </si>
  <si>
    <t>GYALOGKAKUKK</t>
  </si>
  <si>
    <t>ZM-BT</t>
  </si>
  <si>
    <t>Debreceni Egyetem    AMTC-MK                      4028 Debrecen     Ótemető u. 2-4</t>
  </si>
  <si>
    <t>DF RACING TECHNOLOGY</t>
  </si>
  <si>
    <t>Dunaújvárosi Főiskola       2400 Dunaújváros       Táncsics Mihály u.1/A</t>
  </si>
  <si>
    <t>AIR FORCE</t>
  </si>
  <si>
    <t>Miskolci Egyetem Gépészmérnöki Kar         3515 Miskolc-Egyetemváros</t>
  </si>
  <si>
    <t>Miskolci Egyetem Gépészmérnöki Kar          3515 Miskolc-Egyetemváros</t>
  </si>
  <si>
    <t>Miskolci Egyetem Gépészmérnöki Kar        3515 Miskolc-Egyetemváros</t>
  </si>
  <si>
    <t>AIRBAG CAR</t>
  </si>
  <si>
    <t>Budapesti Műszaki Főiskola Bánki Donát Kar             1081 Budapest                Népszínház u.8</t>
  </si>
  <si>
    <t>GAMF SZPSZ</t>
  </si>
  <si>
    <t>Kecskeméti Főiskola GAMF Kar                    6000 Kecskemét                Izsáki u.10</t>
  </si>
  <si>
    <t>ANTON</t>
  </si>
  <si>
    <t>SziRéNa TS</t>
  </si>
  <si>
    <t xml:space="preserve">Nyugat Magyarországi Egyetem FMK              9400 Sopron                 Bajcsy Zs. U 4. </t>
  </si>
  <si>
    <t>Villanyos</t>
  </si>
  <si>
    <t>Szent István Egyetem Gépészmérnöki Kar                         2100 Gödöllő                     Páter Károly u 1.</t>
  </si>
  <si>
    <t>Csitíri Mobile</t>
  </si>
  <si>
    <t>PET-PNEUCAR TEAM</t>
  </si>
  <si>
    <t>John Rambo Project</t>
  </si>
  <si>
    <t>VFT</t>
  </si>
  <si>
    <t>Nyíregyházi Főiskola MMFK                               4400  Nyíregyháza                   Kótaji út  9-11</t>
  </si>
  <si>
    <t>Miskolci Egyetem Gépészmérnöki Kar                   3515 Miskolc-Egyetemváros</t>
  </si>
  <si>
    <t>Budapest Műszaki és Gazgaságtudományi Egyetem                          1111 Budapest       Műegyetem rkp.3.</t>
  </si>
  <si>
    <t>Budapest Műszaki és Gazgaságtudományi Egyetem                          1111 Budapest         Műegyetem rkp.7-9.</t>
  </si>
  <si>
    <t>Budapest Műszaki és Gazgaságtudományi Egyetem                          1111 Budapest            Műegyetem rkp.3.</t>
  </si>
  <si>
    <t>Széchenyi István Egyetem                       9026 Győr                 Egyetem tér 1</t>
  </si>
  <si>
    <t>Széchenyi 01</t>
  </si>
  <si>
    <t>DE-AMTC, Debrecen</t>
  </si>
  <si>
    <t>B.A.R. RACING TEAM                         ( SZIE-GÉK II. )</t>
  </si>
  <si>
    <t>Sorszám/
Rajtszám</t>
  </si>
  <si>
    <t>PNEURÁJDER 
( SZIE-GÉK I. )</t>
  </si>
  <si>
    <t>Részeredmény - műszaki helyezés</t>
  </si>
  <si>
    <t>Részeredmény - időeredmény helyezés</t>
  </si>
  <si>
    <t>Részeredmény - távolság helyezés</t>
  </si>
  <si>
    <t>Össz-helyezés</t>
  </si>
  <si>
    <t>Műszaki szempontok összesen
(max. 100)</t>
  </si>
  <si>
    <t>Pontszám (időeredmény, max. 50)</t>
  </si>
  <si>
    <t>Pontszám (távolság, max. 50)</t>
  </si>
  <si>
    <t>Összpontszám
(max. 200)</t>
  </si>
  <si>
    <t>-helyezés</t>
  </si>
  <si>
    <t xml:space="preserve">Idő-eredmény
- össz. [s]-  </t>
  </si>
  <si>
    <r>
      <t xml:space="preserve">Idő-eredmény
</t>
    </r>
    <r>
      <rPr>
        <b/>
        <sz val="10"/>
        <rFont val="Arial"/>
        <family val="2"/>
      </rPr>
      <t xml:space="preserve">- perc -  </t>
    </r>
  </si>
  <si>
    <r>
      <t xml:space="preserve">Idő-eredmény
</t>
    </r>
    <r>
      <rPr>
        <b/>
        <sz val="10"/>
        <rFont val="Arial"/>
        <family val="2"/>
      </rPr>
      <t xml:space="preserve">- másodperc -  </t>
    </r>
  </si>
  <si>
    <t>Avar József</t>
  </si>
  <si>
    <t>Benkő András</t>
  </si>
  <si>
    <t>Dr Voith Anrdás</t>
  </si>
  <si>
    <t>Fülep Richárd</t>
  </si>
  <si>
    <t>ifj.Ranga László</t>
  </si>
  <si>
    <t>Kürthy Béla</t>
  </si>
  <si>
    <t>Szabó László</t>
  </si>
  <si>
    <t>Átlag
(max. 10)</t>
  </si>
  <si>
    <t>Műszaki szempontok (max. 90)</t>
  </si>
  <si>
    <t>Távolsági eredmény [m]</t>
  </si>
  <si>
    <t>Legnagyobb sebesség
[km/h]</t>
  </si>
  <si>
    <t>Max pont (min idő)</t>
  </si>
  <si>
    <t>Min pont (max idő)</t>
  </si>
  <si>
    <t>Nem teljesített</t>
  </si>
  <si>
    <t>Max pont (max táv)</t>
  </si>
  <si>
    <t>Min pont (min táv)</t>
  </si>
  <si>
    <t>Figyelem! Csak a színes oszlopokba szabad írni!!</t>
  </si>
  <si>
    <t>Idő+táv helyezések össz.</t>
  </si>
  <si>
    <t>Idő+táv helyezések szerinti sorrend</t>
  </si>
  <si>
    <t>Motor
(1-10)</t>
  </si>
  <si>
    <t>Hajtáslánc
(1-10)</t>
  </si>
  <si>
    <t>Kormánymű
(1-10)</t>
  </si>
  <si>
    <t>Fék
(1-10)</t>
  </si>
  <si>
    <t>Biztonsági előírások
(1-10)</t>
  </si>
  <si>
    <t>Dokumentáció
(1-10)</t>
  </si>
  <si>
    <t>Pneumatikus kapcsolás
(1-10)</t>
  </si>
  <si>
    <t>Konstrukció eredetisége
(1-10)</t>
  </si>
  <si>
    <t>Szerkezeti kivitel
(1-10)</t>
  </si>
  <si>
    <t>A zsűritagok szubjektív értékelése (1-10)</t>
  </si>
  <si>
    <t>Közönség
zajszint
[dBA]</t>
  </si>
  <si>
    <t>Abszolút kategória</t>
  </si>
  <si>
    <t>Helyezett</t>
  </si>
  <si>
    <t>Bosch Rexroth díjak</t>
  </si>
  <si>
    <t>Csapat neve</t>
  </si>
  <si>
    <t>Tagok</t>
  </si>
  <si>
    <t>Külföldi út+tárgyjutalom
PSB 500 RE fúrógép
Dremel 300 akkus mulif. 55 db-os
PWS-G-115 sarokcsiszoló
PST 650 dekopírfűrész</t>
  </si>
  <si>
    <t>Tárgyjutalom
PSB 500 RE fúrógép
Dremel 300 akkus mulif. 35 db-os
PSM-160-A sarokcsiszoló</t>
  </si>
  <si>
    <t>Tárgyjutalom
PSB 500 RE fúrógép
Dremel 300 akkus mulif. 25 db-os</t>
  </si>
  <si>
    <t>Miskolci Bosch Power Tools</t>
  </si>
  <si>
    <t>Külföldi út</t>
  </si>
  <si>
    <t xml:space="preserve">Tárgyjutalom
Akkus fúrógép PSR 9,6 </t>
  </si>
  <si>
    <t>-</t>
  </si>
  <si>
    <t>Legrövidebb idő</t>
  </si>
  <si>
    <t>Legnagyobb távolság</t>
  </si>
  <si>
    <t>Közönségdíj (leghangosabb szurkolótábor)</t>
  </si>
  <si>
    <t>Bosch Rexroth</t>
  </si>
  <si>
    <t>Emléktárgy</t>
  </si>
  <si>
    <t>Felkészítő tanárok</t>
  </si>
  <si>
    <t>Oktatási és Kulturális Minisztérium</t>
  </si>
  <si>
    <t>200.000 Ft</t>
  </si>
  <si>
    <t>150.000 Ft</t>
  </si>
  <si>
    <t>100.000 Ft</t>
  </si>
  <si>
    <t>Legnagyobb sebesség</t>
  </si>
  <si>
    <t>Konstrukció eredetisége (műszaki szempontok összesen)</t>
  </si>
  <si>
    <t xml:space="preserve">Tárgyjutalom
Akkus fúrógép PSR 12 VE </t>
  </si>
  <si>
    <t>n.a.</t>
  </si>
  <si>
    <t xml:space="preserve">Kelemen László Attila 
Szűcs László 
Koncsik Tamás 
Szenczi Gábor </t>
  </si>
  <si>
    <t xml:space="preserve">Bodnár Zsolt  
Szathmári Zoltán 
Molnár Miklós 
Márkus Csaba </t>
  </si>
  <si>
    <t xml:space="preserve">Büdi Lóránt 
Németh István 
Rákos Attila 
Varga Balázs </t>
  </si>
  <si>
    <t xml:space="preserve">Recski Péter 
Erdős Ferenc Zsolt      
Veres Tamás 
Zámbó Péter </t>
  </si>
  <si>
    <t xml:space="preserve">Török Zoltán   
Szaifert Péter  
Vass Domonkos  
Mudra Zsolt </t>
  </si>
  <si>
    <t xml:space="preserve">Vidók Csaba 
László Gábor 
Tóth Gergely 
Varga András </t>
  </si>
  <si>
    <t xml:space="preserve">Frics Gábor  
Fekete Imre 
Oprics Miklós </t>
  </si>
  <si>
    <t xml:space="preserve">Lévay Márk 
Erdős Zsolt 
Fábián Sándor 
Tőzsér Ákos </t>
  </si>
  <si>
    <t xml:space="preserve">Mladek László 
Orosz Attila 
Salga Csaba 
Simon István </t>
  </si>
  <si>
    <r>
      <t xml:space="preserve">Kajla Barna 
Dugár Zsolt 
Mécs Miklós 
Barabás László 
</t>
    </r>
    <r>
      <rPr>
        <i/>
        <sz val="10"/>
        <rFont val="Arial"/>
        <family val="2"/>
      </rPr>
      <t xml:space="preserve">Tóth Gergely </t>
    </r>
  </si>
  <si>
    <t xml:space="preserve">Házy Gergely István 
Ercsey Gergely </t>
  </si>
  <si>
    <t xml:space="preserve">Szíjártó Tamás 
Reisz Lajos 
Nagy Gábor </t>
  </si>
  <si>
    <t xml:space="preserve">Székely Imre Levente 
Bolla Dániel 
Kis Levente Róbert 
Jánosi András </t>
  </si>
  <si>
    <t xml:space="preserve">Merk Ádám 
Sóti Róbert 
Molnár Tamás 
Turay Tamás </t>
  </si>
  <si>
    <t xml:space="preserve">Léber Szabolcs 
Mészáros Attila 
Szentgyörgyi Oszkár 
Szétag Renáta </t>
  </si>
  <si>
    <t xml:space="preserve">Richter Balázs  
Mokánszki Ferenc  
Farkas Dániel                
Szilágyi Gábor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</si>
</sst>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ss:\s\s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2" borderId="6" xfId="0" applyFill="1" applyBorder="1" applyAlignment="1">
      <alignment/>
    </xf>
    <xf numFmtId="0" fontId="0" fillId="0" borderId="7" xfId="0" applyFill="1" applyBorder="1" applyAlignment="1">
      <alignment/>
    </xf>
    <xf numFmtId="0" fontId="5" fillId="4" borderId="8" xfId="0" applyFont="1" applyFill="1" applyBorder="1" applyAlignment="1">
      <alignment vertical="top"/>
    </xf>
    <xf numFmtId="0" fontId="5" fillId="4" borderId="9" xfId="0" applyFont="1" applyFill="1" applyBorder="1" applyAlignment="1">
      <alignment vertical="top"/>
    </xf>
    <xf numFmtId="0" fontId="5" fillId="4" borderId="9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0" fillId="5" borderId="1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0" fillId="5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5" borderId="6" xfId="0" applyNumberFormat="1" applyFill="1" applyBorder="1" applyAlignment="1">
      <alignment/>
    </xf>
    <xf numFmtId="0" fontId="0" fillId="5" borderId="23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0" fillId="5" borderId="4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wrapText="1"/>
    </xf>
    <xf numFmtId="0" fontId="1" fillId="6" borderId="22" xfId="0" applyFont="1" applyFill="1" applyBorder="1" applyAlignment="1" quotePrefix="1">
      <alignment horizontal="center" wrapText="1"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1" fillId="2" borderId="2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3" borderId="6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6" borderId="26" xfId="0" applyFont="1" applyFill="1" applyBorder="1" applyAlignment="1">
      <alignment horizontal="center" wrapText="1"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7" borderId="31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1" fillId="2" borderId="33" xfId="0" applyFont="1" applyFill="1" applyBorder="1" applyAlignment="1">
      <alignment horizontal="center" wrapText="1"/>
    </xf>
    <xf numFmtId="0" fontId="0" fillId="0" borderId="34" xfId="0" applyFill="1" applyBorder="1" applyAlignment="1">
      <alignment/>
    </xf>
    <xf numFmtId="0" fontId="1" fillId="7" borderId="3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10" fillId="0" borderId="38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3" borderId="42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wrapText="1"/>
    </xf>
    <xf numFmtId="0" fontId="1" fillId="4" borderId="43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25" xfId="0" applyFill="1" applyBorder="1" applyAlignment="1">
      <alignment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38" xfId="0" applyFill="1" applyBorder="1" applyAlignment="1">
      <alignment vertical="top" wrapText="1"/>
    </xf>
    <xf numFmtId="0" fontId="1" fillId="4" borderId="43" xfId="0" applyFont="1" applyFill="1" applyBorder="1" applyAlignment="1">
      <alignment horizontal="center"/>
    </xf>
    <xf numFmtId="0" fontId="0" fillId="4" borderId="44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1" fillId="4" borderId="45" xfId="0" applyFont="1" applyFill="1" applyBorder="1" applyAlignment="1">
      <alignment/>
    </xf>
    <xf numFmtId="0" fontId="1" fillId="4" borderId="46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4" borderId="5" xfId="0" applyFont="1" applyFill="1" applyBorder="1" applyAlignment="1">
      <alignment vertical="top" wrapText="1"/>
    </xf>
    <xf numFmtId="0" fontId="0" fillId="4" borderId="29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18" xfId="0" applyFont="1" applyFill="1" applyBorder="1" applyAlignment="1">
      <alignment vertical="top" wrapText="1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0" fillId="0" borderId="46" xfId="0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/>
    </xf>
    <xf numFmtId="0" fontId="0" fillId="0" borderId="42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2" fillId="8" borderId="49" xfId="0" applyFont="1" applyFill="1" applyBorder="1" applyAlignment="1">
      <alignment horizontal="center" vertical="top"/>
    </xf>
    <xf numFmtId="0" fontId="2" fillId="8" borderId="50" xfId="0" applyFont="1" applyFill="1" applyBorder="1" applyAlignment="1">
      <alignment horizontal="center" vertical="top"/>
    </xf>
    <xf numFmtId="0" fontId="2" fillId="8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" fillId="3" borderId="49" xfId="0" applyFont="1" applyFill="1" applyBorder="1" applyAlignment="1">
      <alignment horizontal="center" vertical="top"/>
    </xf>
    <xf numFmtId="0" fontId="2" fillId="3" borderId="50" xfId="0" applyFont="1" applyFill="1" applyBorder="1" applyAlignment="1">
      <alignment horizontal="center" vertical="top"/>
    </xf>
    <xf numFmtId="0" fontId="2" fillId="5" borderId="0" xfId="0" applyFont="1" applyFill="1" applyAlignment="1">
      <alignment vertical="top"/>
    </xf>
    <xf numFmtId="0" fontId="2" fillId="5" borderId="49" xfId="0" applyFont="1" applyFill="1" applyBorder="1" applyAlignment="1">
      <alignment horizontal="center" vertical="top"/>
    </xf>
    <xf numFmtId="0" fontId="2" fillId="5" borderId="50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49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top"/>
    </xf>
    <xf numFmtId="0" fontId="2" fillId="6" borderId="0" xfId="0" applyFont="1" applyFill="1" applyAlignment="1">
      <alignment vertical="top"/>
    </xf>
    <xf numFmtId="0" fontId="2" fillId="6" borderId="49" xfId="0" applyFont="1" applyFill="1" applyBorder="1" applyAlignment="1">
      <alignment horizontal="center" vertical="top"/>
    </xf>
    <xf numFmtId="0" fontId="2" fillId="6" borderId="50" xfId="0" applyFont="1" applyFill="1" applyBorder="1" applyAlignment="1">
      <alignment horizontal="center" vertical="top"/>
    </xf>
    <xf numFmtId="0" fontId="0" fillId="6" borderId="0" xfId="0" applyFill="1" applyAlignment="1">
      <alignment vertical="top"/>
    </xf>
    <xf numFmtId="0" fontId="3" fillId="9" borderId="12" xfId="0" applyFont="1" applyFill="1" applyBorder="1" applyAlignment="1">
      <alignment horizontal="center" vertical="top"/>
    </xf>
    <xf numFmtId="2" fontId="0" fillId="3" borderId="5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27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5" fillId="9" borderId="9" xfId="0" applyFont="1" applyFill="1" applyBorder="1" applyAlignment="1">
      <alignment vertical="top"/>
    </xf>
    <xf numFmtId="0" fontId="0" fillId="9" borderId="25" xfId="0" applyFill="1" applyBorder="1" applyAlignment="1">
      <alignment vertical="top" wrapText="1"/>
    </xf>
    <xf numFmtId="0" fontId="0" fillId="9" borderId="3" xfId="0" applyFill="1" applyBorder="1" applyAlignment="1">
      <alignment vertical="top" wrapText="1"/>
    </xf>
    <xf numFmtId="0" fontId="5" fillId="9" borderId="9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8" borderId="50" xfId="0" applyFont="1" applyFill="1" applyBorder="1" applyAlignment="1">
      <alignment horizontal="center" vertical="top" wrapText="1"/>
    </xf>
    <xf numFmtId="0" fontId="2" fillId="3" borderId="50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9" borderId="3" xfId="0" applyFont="1" applyFill="1" applyBorder="1" applyAlignment="1">
      <alignment vertical="top" wrapText="1"/>
    </xf>
    <xf numFmtId="0" fontId="0" fillId="9" borderId="17" xfId="0" applyFont="1" applyFill="1" applyBorder="1" applyAlignment="1">
      <alignment vertical="top" wrapText="1"/>
    </xf>
    <xf numFmtId="0" fontId="0" fillId="9" borderId="3" xfId="0" applyFill="1" applyBorder="1" applyAlignment="1">
      <alignment/>
    </xf>
    <xf numFmtId="2" fontId="0" fillId="9" borderId="3" xfId="0" applyNumberFormat="1" applyFill="1" applyBorder="1" applyAlignment="1">
      <alignment/>
    </xf>
    <xf numFmtId="2" fontId="0" fillId="9" borderId="19" xfId="0" applyNumberFormat="1" applyFill="1" applyBorder="1" applyAlignment="1">
      <alignment/>
    </xf>
    <xf numFmtId="0" fontId="0" fillId="9" borderId="1" xfId="0" applyFill="1" applyBorder="1" applyAlignment="1">
      <alignment/>
    </xf>
    <xf numFmtId="20" fontId="0" fillId="6" borderId="38" xfId="0" applyNumberFormat="1" applyFill="1" applyBorder="1" applyAlignment="1">
      <alignment/>
    </xf>
    <xf numFmtId="0" fontId="0" fillId="6" borderId="25" xfId="0" applyNumberFormat="1" applyFill="1" applyBorder="1" applyAlignment="1">
      <alignment/>
    </xf>
    <xf numFmtId="0" fontId="2" fillId="6" borderId="49" xfId="0" applyFont="1" applyFill="1" applyBorder="1" applyAlignment="1">
      <alignment horizontal="center" vertical="top" wrapText="1"/>
    </xf>
    <xf numFmtId="0" fontId="1" fillId="4" borderId="51" xfId="0" applyFont="1" applyFill="1" applyBorder="1" applyAlignment="1">
      <alignment horizontal="center" wrapText="1"/>
    </xf>
    <xf numFmtId="0" fontId="1" fillId="4" borderId="52" xfId="0" applyFont="1" applyFill="1" applyBorder="1" applyAlignment="1">
      <alignment horizontal="center" wrapText="1"/>
    </xf>
    <xf numFmtId="2" fontId="0" fillId="4" borderId="53" xfId="0" applyNumberFormat="1" applyFill="1" applyBorder="1" applyAlignment="1">
      <alignment vertical="center"/>
    </xf>
    <xf numFmtId="0" fontId="1" fillId="4" borderId="54" xfId="0" applyFont="1" applyFill="1" applyBorder="1" applyAlignment="1">
      <alignment horizontal="center" vertical="center"/>
    </xf>
    <xf numFmtId="2" fontId="0" fillId="4" borderId="55" xfId="0" applyNumberFormat="1" applyFill="1" applyBorder="1" applyAlignment="1">
      <alignment vertical="center"/>
    </xf>
    <xf numFmtId="0" fontId="1" fillId="4" borderId="36" xfId="0" applyFont="1" applyFill="1" applyBorder="1" applyAlignment="1">
      <alignment horizontal="center" vertical="center"/>
    </xf>
    <xf numFmtId="2" fontId="0" fillId="4" borderId="56" xfId="0" applyNumberFormat="1" applyFill="1" applyBorder="1" applyAlignment="1">
      <alignment vertical="center"/>
    </xf>
    <xf numFmtId="0" fontId="1" fillId="4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tabSelected="1" zoomScale="80" zoomScaleNormal="80" workbookViewId="0" topLeftCell="A1">
      <selection activeCell="F8" sqref="F8"/>
    </sheetView>
  </sheetViews>
  <sheetFormatPr defaultColWidth="9.140625" defaultRowHeight="12.75"/>
  <cols>
    <col min="1" max="1" width="12.8515625" style="0" customWidth="1"/>
    <col min="2" max="2" width="23.421875" style="0" bestFit="1" customWidth="1"/>
    <col min="3" max="3" width="22.421875" style="0" bestFit="1" customWidth="1"/>
    <col min="4" max="4" width="21.28125" style="0" customWidth="1"/>
  </cols>
  <sheetData>
    <row r="3" ht="13.5" thickBot="1"/>
    <row r="4" spans="1:4" ht="32.25" thickBot="1">
      <c r="A4" s="85" t="s">
        <v>37</v>
      </c>
      <c r="B4" s="94" t="s">
        <v>0</v>
      </c>
      <c r="C4" s="97" t="s">
        <v>1</v>
      </c>
      <c r="D4" s="98" t="s">
        <v>2</v>
      </c>
    </row>
    <row r="5" spans="1:4" ht="51">
      <c r="A5" s="18">
        <v>1</v>
      </c>
      <c r="B5" s="13" t="s">
        <v>4</v>
      </c>
      <c r="C5" s="95" t="s">
        <v>12</v>
      </c>
      <c r="D5" s="96" t="s">
        <v>107</v>
      </c>
    </row>
    <row r="6" spans="1:4" ht="51">
      <c r="A6" s="19">
        <v>2</v>
      </c>
      <c r="B6" s="14" t="s">
        <v>7</v>
      </c>
      <c r="C6" s="91" t="s">
        <v>13</v>
      </c>
      <c r="D6" s="89" t="s">
        <v>108</v>
      </c>
    </row>
    <row r="7" spans="1:4" ht="63.75">
      <c r="A7" s="19">
        <v>3</v>
      </c>
      <c r="B7" s="14" t="s">
        <v>6</v>
      </c>
      <c r="C7" s="92" t="s">
        <v>30</v>
      </c>
      <c r="D7" s="89" t="s">
        <v>109</v>
      </c>
    </row>
    <row r="8" spans="1:4" ht="51">
      <c r="A8" s="19">
        <v>4</v>
      </c>
      <c r="B8" s="14" t="s">
        <v>25</v>
      </c>
      <c r="C8" s="91" t="s">
        <v>14</v>
      </c>
      <c r="D8" s="89" t="s">
        <v>110</v>
      </c>
    </row>
    <row r="9" spans="1:4" ht="51">
      <c r="A9" s="19">
        <v>5</v>
      </c>
      <c r="B9" s="14" t="s">
        <v>35</v>
      </c>
      <c r="C9" s="91" t="s">
        <v>8</v>
      </c>
      <c r="D9" s="89" t="s">
        <v>111</v>
      </c>
    </row>
    <row r="10" spans="1:4" ht="51">
      <c r="A10" s="19">
        <v>6</v>
      </c>
      <c r="B10" s="15" t="s">
        <v>9</v>
      </c>
      <c r="C10" s="91" t="s">
        <v>10</v>
      </c>
      <c r="D10" s="89" t="s">
        <v>112</v>
      </c>
    </row>
    <row r="11" spans="1:4" ht="51">
      <c r="A11" s="19">
        <v>7</v>
      </c>
      <c r="B11" s="16" t="s">
        <v>27</v>
      </c>
      <c r="C11" s="91" t="s">
        <v>28</v>
      </c>
      <c r="D11" s="89" t="s">
        <v>113</v>
      </c>
    </row>
    <row r="12" spans="1:4" ht="51">
      <c r="A12" s="19">
        <v>8</v>
      </c>
      <c r="B12" s="15" t="s">
        <v>26</v>
      </c>
      <c r="C12" s="91" t="s">
        <v>29</v>
      </c>
      <c r="D12" s="89" t="s">
        <v>114</v>
      </c>
    </row>
    <row r="13" spans="1:4" ht="63.75">
      <c r="A13" s="19">
        <v>10</v>
      </c>
      <c r="B13" s="14" t="s">
        <v>15</v>
      </c>
      <c r="C13" s="91" t="s">
        <v>16</v>
      </c>
      <c r="D13" s="89" t="s">
        <v>115</v>
      </c>
    </row>
    <row r="14" spans="1:4" ht="63.75">
      <c r="A14" s="19">
        <v>11</v>
      </c>
      <c r="B14" s="14" t="s">
        <v>17</v>
      </c>
      <c r="C14" s="91" t="s">
        <v>18</v>
      </c>
      <c r="D14" s="89" t="s">
        <v>116</v>
      </c>
    </row>
    <row r="15" spans="1:4" ht="63.75">
      <c r="A15" s="19">
        <v>12</v>
      </c>
      <c r="B15" s="14" t="s">
        <v>19</v>
      </c>
      <c r="C15" s="92" t="s">
        <v>31</v>
      </c>
      <c r="D15" s="89" t="s">
        <v>117</v>
      </c>
    </row>
    <row r="16" spans="1:4" ht="51">
      <c r="A16" s="19">
        <v>13</v>
      </c>
      <c r="B16" s="14" t="s">
        <v>20</v>
      </c>
      <c r="C16" s="91" t="s">
        <v>21</v>
      </c>
      <c r="D16" s="89" t="s">
        <v>118</v>
      </c>
    </row>
    <row r="17" spans="1:4" ht="63.75">
      <c r="A17" s="19">
        <v>14</v>
      </c>
      <c r="B17" s="14" t="s">
        <v>22</v>
      </c>
      <c r="C17" s="92" t="s">
        <v>32</v>
      </c>
      <c r="D17" s="89" t="s">
        <v>119</v>
      </c>
    </row>
    <row r="18" spans="1:4" ht="51">
      <c r="A18" s="19">
        <v>15</v>
      </c>
      <c r="B18" s="15" t="s">
        <v>38</v>
      </c>
      <c r="C18" s="91" t="s">
        <v>23</v>
      </c>
      <c r="D18" s="89" t="s">
        <v>120</v>
      </c>
    </row>
    <row r="19" spans="1:4" ht="51">
      <c r="A19" s="19">
        <v>17</v>
      </c>
      <c r="B19" s="14" t="s">
        <v>24</v>
      </c>
      <c r="C19" s="91" t="s">
        <v>23</v>
      </c>
      <c r="D19" s="89" t="s">
        <v>122</v>
      </c>
    </row>
    <row r="20" spans="1:4" ht="51.75" thickBot="1">
      <c r="A20" s="20">
        <v>18</v>
      </c>
      <c r="B20" s="17" t="s">
        <v>34</v>
      </c>
      <c r="C20" s="93" t="s">
        <v>33</v>
      </c>
      <c r="D20" s="90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view="pageBreakPreview" zoomScale="80" zoomScaleSheetLayoutView="80" workbookViewId="0" topLeftCell="A1">
      <pane xSplit="6" topLeftCell="W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1.57421875" style="0" bestFit="1" customWidth="1"/>
    <col min="2" max="2" width="23.421875" style="0" bestFit="1" customWidth="1"/>
    <col min="3" max="3" width="22.421875" style="0" hidden="1" customWidth="1"/>
    <col min="4" max="4" width="19.57421875" style="0" hidden="1" customWidth="1"/>
    <col min="5" max="5" width="20.00390625" style="0" hidden="1" customWidth="1"/>
    <col min="6" max="6" width="18.8515625" style="0" hidden="1" customWidth="1"/>
    <col min="7" max="11" width="12.7109375" style="0" hidden="1" customWidth="1"/>
    <col min="12" max="12" width="14.140625" style="0" hidden="1" customWidth="1"/>
    <col min="13" max="22" width="12.7109375" style="0" hidden="1" customWidth="1"/>
    <col min="23" max="23" width="12.7109375" style="0" customWidth="1"/>
    <col min="24" max="24" width="17.7109375" style="0" customWidth="1"/>
    <col min="25" max="25" width="21.28125" style="0" customWidth="1"/>
    <col min="30" max="30" width="13.7109375" style="0" bestFit="1" customWidth="1"/>
    <col min="31" max="31" width="21.7109375" style="10" customWidth="1"/>
    <col min="32" max="32" width="22.57421875" style="0" customWidth="1"/>
  </cols>
  <sheetData>
    <row r="1" ht="15.75">
      <c r="H1" s="64" t="s">
        <v>67</v>
      </c>
    </row>
    <row r="2" spans="26:31" ht="16.5" thickBot="1">
      <c r="Z2" s="59"/>
      <c r="AA2" s="59"/>
      <c r="AB2" s="59"/>
      <c r="AC2" s="59"/>
      <c r="AD2" s="59"/>
      <c r="AE2" s="81"/>
    </row>
    <row r="3" spans="7:31" ht="30" customHeight="1" thickBot="1">
      <c r="G3" s="193" t="s">
        <v>59</v>
      </c>
      <c r="H3" s="194"/>
      <c r="I3" s="194"/>
      <c r="J3" s="194"/>
      <c r="K3" s="194"/>
      <c r="L3" s="194"/>
      <c r="M3" s="194"/>
      <c r="N3" s="194"/>
      <c r="O3" s="195"/>
      <c r="P3" s="193" t="s">
        <v>79</v>
      </c>
      <c r="Q3" s="194"/>
      <c r="R3" s="194"/>
      <c r="S3" s="194"/>
      <c r="T3" s="194"/>
      <c r="U3" s="194"/>
      <c r="V3" s="194"/>
      <c r="W3" s="195"/>
      <c r="X3" s="196" t="s">
        <v>43</v>
      </c>
      <c r="Y3" s="198" t="s">
        <v>39</v>
      </c>
      <c r="Z3" s="82"/>
      <c r="AA3" s="82"/>
      <c r="AB3" s="82"/>
      <c r="AC3" s="82"/>
      <c r="AD3" s="82"/>
      <c r="AE3" s="81"/>
    </row>
    <row r="4" spans="1:31" ht="45" customHeight="1" thickBot="1">
      <c r="A4" s="85" t="s">
        <v>37</v>
      </c>
      <c r="B4" s="94" t="s">
        <v>0</v>
      </c>
      <c r="C4" s="97" t="s">
        <v>1</v>
      </c>
      <c r="D4" s="98" t="s">
        <v>2</v>
      </c>
      <c r="E4" s="98" t="s">
        <v>5</v>
      </c>
      <c r="F4" s="99" t="s">
        <v>3</v>
      </c>
      <c r="G4" s="83" t="s">
        <v>70</v>
      </c>
      <c r="H4" s="83" t="s">
        <v>71</v>
      </c>
      <c r="I4" s="83" t="s">
        <v>72</v>
      </c>
      <c r="J4" s="83" t="s">
        <v>73</v>
      </c>
      <c r="K4" s="83" t="s">
        <v>74</v>
      </c>
      <c r="L4" s="83" t="s">
        <v>75</v>
      </c>
      <c r="M4" s="83" t="s">
        <v>76</v>
      </c>
      <c r="N4" s="83" t="s">
        <v>77</v>
      </c>
      <c r="O4" s="84" t="s">
        <v>78</v>
      </c>
      <c r="P4" s="78" t="s">
        <v>51</v>
      </c>
      <c r="Q4" s="79" t="s">
        <v>52</v>
      </c>
      <c r="R4" s="79" t="s">
        <v>53</v>
      </c>
      <c r="S4" s="79" t="s">
        <v>54</v>
      </c>
      <c r="T4" s="79" t="s">
        <v>55</v>
      </c>
      <c r="U4" s="79" t="s">
        <v>56</v>
      </c>
      <c r="V4" s="79" t="s">
        <v>57</v>
      </c>
      <c r="W4" s="80" t="s">
        <v>58</v>
      </c>
      <c r="X4" s="197"/>
      <c r="Y4" s="199"/>
      <c r="Z4" s="59"/>
      <c r="AA4" s="59"/>
      <c r="AB4" s="59"/>
      <c r="AC4" s="59"/>
      <c r="AD4" s="59"/>
      <c r="AE4" s="59"/>
    </row>
    <row r="5" spans="1:31" ht="34.5" customHeight="1">
      <c r="A5" s="18">
        <v>1</v>
      </c>
      <c r="B5" s="13" t="s">
        <v>4</v>
      </c>
      <c r="C5" s="95" t="str">
        <f>'Regisztrált névsor'!C5</f>
        <v>Miskolci Egyetem Gépészmérnöki Kar         3515 Miskolc-Egyetemváros</v>
      </c>
      <c r="D5" s="96" t="str">
        <f>'Regisztrált névsor'!D5</f>
        <v>Kelemen László Attila 
Szűcs László 
Koncsik Tamás 
Szenczi Gábor </v>
      </c>
      <c r="E5" s="100" t="e">
        <f>'Regisztrált névsor'!#REF!</f>
        <v>#REF!</v>
      </c>
      <c r="F5" s="101" t="e">
        <f>'Regisztrált névsor'!#REF!</f>
        <v>#REF!</v>
      </c>
      <c r="G5" s="9">
        <v>8</v>
      </c>
      <c r="H5" s="153">
        <f>19/3</f>
        <v>6.333333333333333</v>
      </c>
      <c r="I5" s="153">
        <f>22/3</f>
        <v>7.333333333333333</v>
      </c>
      <c r="J5" s="153">
        <f>23/3</f>
        <v>7.666666666666667</v>
      </c>
      <c r="K5" s="153">
        <f>21/3</f>
        <v>7</v>
      </c>
      <c r="L5" s="9">
        <v>5</v>
      </c>
      <c r="M5" s="9">
        <v>6.5</v>
      </c>
      <c r="N5" s="9">
        <v>8.5</v>
      </c>
      <c r="O5" s="156">
        <f>25/3</f>
        <v>8.333333333333334</v>
      </c>
      <c r="P5" s="50">
        <v>8</v>
      </c>
      <c r="Q5" s="51">
        <v>8</v>
      </c>
      <c r="R5" s="51">
        <v>9</v>
      </c>
      <c r="S5" s="51">
        <v>7</v>
      </c>
      <c r="T5" s="51">
        <v>9</v>
      </c>
      <c r="U5" s="51">
        <v>7</v>
      </c>
      <c r="V5" s="51">
        <v>9</v>
      </c>
      <c r="W5" s="12">
        <f>ROUND(AVERAGE(P5:V5),1)</f>
        <v>8.1</v>
      </c>
      <c r="X5" s="159">
        <f aca="true" t="shared" si="0" ref="X5:X22">SUM(G5:O5,W5)</f>
        <v>72.76666666666665</v>
      </c>
      <c r="Y5" s="25">
        <f>RANK(X5,$X$5:$X$22)</f>
        <v>9</v>
      </c>
      <c r="AE5"/>
    </row>
    <row r="6" spans="1:31" ht="34.5" customHeight="1">
      <c r="A6" s="19">
        <v>2</v>
      </c>
      <c r="B6" s="14" t="s">
        <v>7</v>
      </c>
      <c r="C6" s="91" t="str">
        <f>'Regisztrált névsor'!C6</f>
        <v>Miskolci Egyetem Gépészmérnöki Kar          3515 Miskolc-Egyetemváros</v>
      </c>
      <c r="D6" s="89" t="str">
        <f>'Regisztrált névsor'!D6</f>
        <v>Bodnár Zsolt  
Szathmári Zoltán 
Molnár Miklós 
Márkus Csaba </v>
      </c>
      <c r="E6" s="102" t="e">
        <f>'Regisztrált névsor'!#REF!</f>
        <v>#REF!</v>
      </c>
      <c r="F6" s="103" t="e">
        <f>'Regisztrált névsor'!#REF!</f>
        <v>#REF!</v>
      </c>
      <c r="G6" s="5">
        <v>9.5</v>
      </c>
      <c r="H6" s="154">
        <f>26/3</f>
        <v>8.666666666666666</v>
      </c>
      <c r="I6" s="154">
        <f>27/3</f>
        <v>9</v>
      </c>
      <c r="J6" s="154">
        <f>19/3</f>
        <v>6.333333333333333</v>
      </c>
      <c r="K6" s="154">
        <f>20/3</f>
        <v>6.666666666666667</v>
      </c>
      <c r="L6" s="5">
        <v>5</v>
      </c>
      <c r="M6" s="5">
        <v>8.5</v>
      </c>
      <c r="N6" s="5">
        <v>9.5</v>
      </c>
      <c r="O6" s="157">
        <f>28/3</f>
        <v>9.333333333333334</v>
      </c>
      <c r="P6" s="6">
        <v>8</v>
      </c>
      <c r="Q6" s="5">
        <v>8</v>
      </c>
      <c r="R6" s="5">
        <v>6</v>
      </c>
      <c r="S6" s="5">
        <v>8</v>
      </c>
      <c r="T6" s="5">
        <v>10</v>
      </c>
      <c r="U6" s="5">
        <v>8</v>
      </c>
      <c r="V6" s="5">
        <v>9</v>
      </c>
      <c r="W6" s="53">
        <f aca="true" t="shared" si="1" ref="W6:W22">ROUND(AVERAGE(P6:V6),1)</f>
        <v>8.1</v>
      </c>
      <c r="X6" s="160">
        <f t="shared" si="0"/>
        <v>80.6</v>
      </c>
      <c r="Y6" s="26">
        <f aca="true" t="shared" si="2" ref="Y6:Y22">RANK(X6,$X$5:$X$22)</f>
        <v>2</v>
      </c>
      <c r="AE6"/>
    </row>
    <row r="7" spans="1:31" ht="34.5" customHeight="1">
      <c r="A7" s="19">
        <v>3</v>
      </c>
      <c r="B7" s="14" t="s">
        <v>6</v>
      </c>
      <c r="C7" s="92" t="str">
        <f>'Regisztrált névsor'!C7</f>
        <v>Budapest Műszaki és Gazgaságtudományi Egyetem                          1111 Budapest       Műegyetem rkp.3.</v>
      </c>
      <c r="D7" s="89" t="str">
        <f>'Regisztrált névsor'!D7</f>
        <v>Büdi Lóránt 
Németh István 
Rákos Attila 
Varga Balázs </v>
      </c>
      <c r="E7" s="102" t="e">
        <f>'Regisztrált névsor'!#REF!</f>
        <v>#REF!</v>
      </c>
      <c r="F7" s="103" t="e">
        <f>'Regisztrált névsor'!#REF!</f>
        <v>#REF!</v>
      </c>
      <c r="G7" s="5">
        <v>9.5</v>
      </c>
      <c r="H7" s="154">
        <f>25/3</f>
        <v>8.333333333333334</v>
      </c>
      <c r="I7" s="154">
        <f>26/3</f>
        <v>8.666666666666666</v>
      </c>
      <c r="J7" s="154">
        <f>25/3</f>
        <v>8.333333333333334</v>
      </c>
      <c r="K7" s="154">
        <f>22/3</f>
        <v>7.333333333333333</v>
      </c>
      <c r="L7" s="5">
        <v>10</v>
      </c>
      <c r="M7" s="5">
        <v>9</v>
      </c>
      <c r="N7" s="5">
        <v>9</v>
      </c>
      <c r="O7" s="157">
        <f>26/3</f>
        <v>8.666666666666666</v>
      </c>
      <c r="P7" s="6">
        <v>9</v>
      </c>
      <c r="Q7" s="5">
        <v>7</v>
      </c>
      <c r="R7" s="5">
        <v>9</v>
      </c>
      <c r="S7" s="5">
        <v>9</v>
      </c>
      <c r="T7" s="5">
        <v>6</v>
      </c>
      <c r="U7" s="5">
        <v>8</v>
      </c>
      <c r="V7" s="5">
        <v>10</v>
      </c>
      <c r="W7" s="53">
        <f t="shared" si="1"/>
        <v>8.3</v>
      </c>
      <c r="X7" s="160">
        <f t="shared" si="0"/>
        <v>87.13333333333334</v>
      </c>
      <c r="Y7" s="26">
        <f t="shared" si="2"/>
        <v>1</v>
      </c>
      <c r="AE7"/>
    </row>
    <row r="8" spans="1:31" ht="34.5" customHeight="1">
      <c r="A8" s="19">
        <v>4</v>
      </c>
      <c r="B8" s="14" t="s">
        <v>25</v>
      </c>
      <c r="C8" s="91" t="str">
        <f>'Regisztrált névsor'!C8</f>
        <v>Miskolci Egyetem Gépészmérnöki Kar        3515 Miskolc-Egyetemváros</v>
      </c>
      <c r="D8" s="89" t="str">
        <f>'Regisztrált névsor'!D8</f>
        <v>Recski Péter 
Erdős Ferenc Zsolt      
Veres Tamás 
Zámbó Péter </v>
      </c>
      <c r="E8" s="102" t="e">
        <f>'Regisztrált névsor'!#REF!</f>
        <v>#REF!</v>
      </c>
      <c r="F8" s="103" t="e">
        <f>'Regisztrált névsor'!#REF!</f>
        <v>#REF!</v>
      </c>
      <c r="G8" s="5">
        <v>8</v>
      </c>
      <c r="H8" s="154">
        <f>22/3</f>
        <v>7.333333333333333</v>
      </c>
      <c r="I8" s="154">
        <f>24/3</f>
        <v>8</v>
      </c>
      <c r="J8" s="154">
        <f>13/3</f>
        <v>4.333333333333333</v>
      </c>
      <c r="K8" s="154">
        <f>17/3</f>
        <v>5.666666666666667</v>
      </c>
      <c r="L8" s="5">
        <v>5</v>
      </c>
      <c r="M8" s="5">
        <v>7</v>
      </c>
      <c r="N8" s="5">
        <v>7</v>
      </c>
      <c r="O8" s="157">
        <f>19/3</f>
        <v>6.333333333333333</v>
      </c>
      <c r="P8" s="6">
        <v>7</v>
      </c>
      <c r="Q8" s="5">
        <v>5</v>
      </c>
      <c r="R8" s="5">
        <v>6</v>
      </c>
      <c r="S8" s="5">
        <v>6</v>
      </c>
      <c r="T8" s="5">
        <v>6</v>
      </c>
      <c r="U8" s="5">
        <v>6</v>
      </c>
      <c r="V8" s="5">
        <v>9</v>
      </c>
      <c r="W8" s="53">
        <f t="shared" si="1"/>
        <v>6.4</v>
      </c>
      <c r="X8" s="160">
        <f t="shared" si="0"/>
        <v>65.06666666666666</v>
      </c>
      <c r="Y8" s="26">
        <f t="shared" si="2"/>
        <v>15</v>
      </c>
      <c r="AE8"/>
    </row>
    <row r="9" spans="1:31" ht="34.5" customHeight="1">
      <c r="A9" s="19">
        <v>5</v>
      </c>
      <c r="B9" s="14" t="s">
        <v>35</v>
      </c>
      <c r="C9" s="91" t="str">
        <f>'Regisztrált névsor'!C9</f>
        <v>Debreceni Egyetem    AMTC-MK                      4028 Debrecen     Ótemető u. 2-4</v>
      </c>
      <c r="D9" s="89" t="str">
        <f>'Regisztrált névsor'!D9</f>
        <v>Török Zoltán   
Szaifert Péter  
Vass Domonkos  
Mudra Zsolt </v>
      </c>
      <c r="E9" s="102" t="e">
        <f>'Regisztrált névsor'!#REF!</f>
        <v>#REF!</v>
      </c>
      <c r="F9" s="103" t="e">
        <f>'Regisztrált névsor'!#REF!</f>
        <v>#REF!</v>
      </c>
      <c r="G9" s="5">
        <v>7.5</v>
      </c>
      <c r="H9" s="154">
        <f>16/3</f>
        <v>5.333333333333333</v>
      </c>
      <c r="I9" s="154">
        <f>17/3</f>
        <v>5.666666666666667</v>
      </c>
      <c r="J9" s="154">
        <f>20/3</f>
        <v>6.666666666666667</v>
      </c>
      <c r="K9" s="154">
        <f>20/3</f>
        <v>6.666666666666667</v>
      </c>
      <c r="L9" s="5">
        <v>5</v>
      </c>
      <c r="M9" s="5">
        <v>7.5</v>
      </c>
      <c r="N9" s="5">
        <v>7.5</v>
      </c>
      <c r="O9" s="157">
        <f>19/3</f>
        <v>6.333333333333333</v>
      </c>
      <c r="P9" s="6">
        <v>7</v>
      </c>
      <c r="Q9" s="5">
        <v>5</v>
      </c>
      <c r="R9" s="5">
        <v>7</v>
      </c>
      <c r="S9" s="5">
        <v>5</v>
      </c>
      <c r="T9" s="5">
        <v>5</v>
      </c>
      <c r="U9" s="5">
        <v>5</v>
      </c>
      <c r="V9" s="5">
        <v>9</v>
      </c>
      <c r="W9" s="53">
        <f t="shared" si="1"/>
        <v>6.1</v>
      </c>
      <c r="X9" s="160">
        <f t="shared" si="0"/>
        <v>64.26666666666667</v>
      </c>
      <c r="Y9" s="26">
        <f t="shared" si="2"/>
        <v>16</v>
      </c>
      <c r="AE9"/>
    </row>
    <row r="10" spans="1:31" ht="34.5" customHeight="1">
      <c r="A10" s="19">
        <v>6</v>
      </c>
      <c r="B10" s="15" t="s">
        <v>9</v>
      </c>
      <c r="C10" s="91" t="str">
        <f>'Regisztrált névsor'!C10</f>
        <v>Dunaújvárosi Főiskola       2400 Dunaújváros       Táncsics Mihály u.1/A</v>
      </c>
      <c r="D10" s="89" t="str">
        <f>'Regisztrált névsor'!D10</f>
        <v>Vidók Csaba 
László Gábor 
Tóth Gergely 
Varga András </v>
      </c>
      <c r="E10" s="102" t="e">
        <f>'Regisztrált névsor'!#REF!</f>
        <v>#REF!</v>
      </c>
      <c r="F10" s="103" t="e">
        <f>'Regisztrált névsor'!#REF!</f>
        <v>#REF!</v>
      </c>
      <c r="G10" s="5">
        <v>7</v>
      </c>
      <c r="H10" s="154">
        <f>23/3</f>
        <v>7.666666666666667</v>
      </c>
      <c r="I10" s="154">
        <f>23/3</f>
        <v>7.666666666666667</v>
      </c>
      <c r="J10" s="154">
        <f>21/3</f>
        <v>7</v>
      </c>
      <c r="K10" s="154">
        <f>25/3</f>
        <v>8.333333333333334</v>
      </c>
      <c r="L10" s="5">
        <v>5</v>
      </c>
      <c r="M10" s="5">
        <v>6</v>
      </c>
      <c r="N10" s="5">
        <v>8.5</v>
      </c>
      <c r="O10" s="157">
        <f>28/3</f>
        <v>9.333333333333334</v>
      </c>
      <c r="P10" s="6">
        <v>9</v>
      </c>
      <c r="Q10" s="5">
        <v>8</v>
      </c>
      <c r="R10" s="5">
        <v>8</v>
      </c>
      <c r="S10" s="5">
        <v>7</v>
      </c>
      <c r="T10" s="5">
        <v>8</v>
      </c>
      <c r="U10" s="5">
        <v>8</v>
      </c>
      <c r="V10" s="5">
        <v>9</v>
      </c>
      <c r="W10" s="53">
        <f t="shared" si="1"/>
        <v>8.1</v>
      </c>
      <c r="X10" s="160">
        <f t="shared" si="0"/>
        <v>74.6</v>
      </c>
      <c r="Y10" s="26">
        <f t="shared" si="2"/>
        <v>6</v>
      </c>
      <c r="AE10"/>
    </row>
    <row r="11" spans="1:31" ht="34.5" customHeight="1">
      <c r="A11" s="19">
        <v>7</v>
      </c>
      <c r="B11" s="16" t="s">
        <v>27</v>
      </c>
      <c r="C11" s="91" t="str">
        <f>'Regisztrált névsor'!C11</f>
        <v>Nyíregyházi Főiskola MMFK                               4400  Nyíregyháza                   Kótaji út  9-11</v>
      </c>
      <c r="D11" s="89" t="str">
        <f>'Regisztrált névsor'!D11</f>
        <v>Frics Gábor  
Fekete Imre 
Oprics Miklós </v>
      </c>
      <c r="E11" s="102" t="e">
        <f>'Regisztrált névsor'!#REF!</f>
        <v>#REF!</v>
      </c>
      <c r="F11" s="103" t="e">
        <f>'Regisztrált névsor'!#REF!</f>
        <v>#REF!</v>
      </c>
      <c r="G11" s="5">
        <v>7</v>
      </c>
      <c r="H11" s="154">
        <f>20/3</f>
        <v>6.666666666666667</v>
      </c>
      <c r="I11" s="154">
        <f>19/3</f>
        <v>6.333333333333333</v>
      </c>
      <c r="J11" s="154">
        <f>21/3</f>
        <v>7</v>
      </c>
      <c r="K11" s="154">
        <f>20/3</f>
        <v>6.666666666666667</v>
      </c>
      <c r="L11" s="5">
        <v>5</v>
      </c>
      <c r="M11" s="5">
        <v>6.5</v>
      </c>
      <c r="N11" s="5">
        <v>8</v>
      </c>
      <c r="O11" s="157">
        <f>27/3</f>
        <v>9</v>
      </c>
      <c r="P11" s="6">
        <v>7</v>
      </c>
      <c r="Q11" s="5">
        <v>7</v>
      </c>
      <c r="R11" s="5">
        <v>8</v>
      </c>
      <c r="S11" s="5">
        <v>7</v>
      </c>
      <c r="T11" s="5">
        <v>8</v>
      </c>
      <c r="U11" s="5">
        <v>7</v>
      </c>
      <c r="V11" s="5">
        <v>9</v>
      </c>
      <c r="W11" s="53">
        <f t="shared" si="1"/>
        <v>7.6</v>
      </c>
      <c r="X11" s="160">
        <f t="shared" si="0"/>
        <v>69.76666666666667</v>
      </c>
      <c r="Y11" s="26">
        <f t="shared" si="2"/>
        <v>10</v>
      </c>
      <c r="AE11"/>
    </row>
    <row r="12" spans="1:31" ht="34.5" customHeight="1">
      <c r="A12" s="19">
        <v>8</v>
      </c>
      <c r="B12" s="15" t="s">
        <v>26</v>
      </c>
      <c r="C12" s="91" t="str">
        <f>'Regisztrált névsor'!C12</f>
        <v>Miskolci Egyetem Gépészmérnöki Kar                   3515 Miskolc-Egyetemváros</v>
      </c>
      <c r="D12" s="89" t="str">
        <f>'Regisztrált névsor'!D12</f>
        <v>Lévay Márk 
Erdős Zsolt 
Fábián Sándor 
Tőzsér Ákos </v>
      </c>
      <c r="E12" s="102" t="e">
        <f>'Regisztrált névsor'!#REF!</f>
        <v>#REF!</v>
      </c>
      <c r="F12" s="103" t="e">
        <f>'Regisztrált névsor'!#REF!</f>
        <v>#REF!</v>
      </c>
      <c r="G12" s="5">
        <v>8.5</v>
      </c>
      <c r="H12" s="154">
        <f>23/3</f>
        <v>7.666666666666667</v>
      </c>
      <c r="I12" s="154">
        <f>25/3</f>
        <v>8.333333333333334</v>
      </c>
      <c r="J12" s="154">
        <f>17/3</f>
        <v>5.666666666666667</v>
      </c>
      <c r="K12" s="154">
        <f>24/3</f>
        <v>8</v>
      </c>
      <c r="L12" s="5">
        <v>5</v>
      </c>
      <c r="M12" s="5">
        <v>6.5</v>
      </c>
      <c r="N12" s="5">
        <v>9.5</v>
      </c>
      <c r="O12" s="157">
        <f>25/3</f>
        <v>8.333333333333334</v>
      </c>
      <c r="P12" s="6">
        <v>10</v>
      </c>
      <c r="Q12" s="5">
        <v>8</v>
      </c>
      <c r="R12" s="5">
        <v>6</v>
      </c>
      <c r="S12" s="5">
        <v>7</v>
      </c>
      <c r="T12" s="5">
        <v>9</v>
      </c>
      <c r="U12" s="5">
        <v>7</v>
      </c>
      <c r="V12" s="5">
        <v>10</v>
      </c>
      <c r="W12" s="53">
        <f t="shared" si="1"/>
        <v>8.1</v>
      </c>
      <c r="X12" s="160">
        <f t="shared" si="0"/>
        <v>75.6</v>
      </c>
      <c r="Y12" s="26">
        <f t="shared" si="2"/>
        <v>5</v>
      </c>
      <c r="AE12"/>
    </row>
    <row r="13" spans="1:31" ht="34.5" customHeight="1">
      <c r="A13" s="152">
        <v>9</v>
      </c>
      <c r="B13" s="165" t="s">
        <v>11</v>
      </c>
      <c r="C13" s="166" t="e">
        <f>'Regisztrált névsor'!#REF!</f>
        <v>#REF!</v>
      </c>
      <c r="D13" s="167" t="e">
        <f>'Regisztrált névsor'!#REF!</f>
        <v>#REF!</v>
      </c>
      <c r="E13" s="176" t="e">
        <f>'Regisztrált névsor'!#REF!</f>
        <v>#REF!</v>
      </c>
      <c r="F13" s="177" t="e">
        <f>'Regisztrált névsor'!#REF!</f>
        <v>#REF!</v>
      </c>
      <c r="G13" s="178">
        <v>0</v>
      </c>
      <c r="H13" s="179">
        <v>0</v>
      </c>
      <c r="I13" s="179">
        <v>0</v>
      </c>
      <c r="J13" s="179">
        <v>0</v>
      </c>
      <c r="K13" s="179">
        <v>0</v>
      </c>
      <c r="L13" s="178">
        <v>0</v>
      </c>
      <c r="M13" s="178">
        <v>0</v>
      </c>
      <c r="N13" s="178">
        <v>0</v>
      </c>
      <c r="O13" s="180">
        <v>0</v>
      </c>
      <c r="P13" s="181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53">
        <f t="shared" si="1"/>
        <v>0</v>
      </c>
      <c r="X13" s="160">
        <f t="shared" si="0"/>
        <v>0</v>
      </c>
      <c r="Y13" s="26">
        <f t="shared" si="2"/>
        <v>17</v>
      </c>
      <c r="AE13"/>
    </row>
    <row r="14" spans="1:31" ht="34.5" customHeight="1">
      <c r="A14" s="19">
        <v>10</v>
      </c>
      <c r="B14" s="14" t="s">
        <v>15</v>
      </c>
      <c r="C14" s="91" t="str">
        <f>'Regisztrált névsor'!C13</f>
        <v>Budapesti Műszaki Főiskola Bánki Donát Kar             1081 Budapest                Népszínház u.8</v>
      </c>
      <c r="D14" s="89" t="str">
        <f>'Regisztrált névsor'!D13</f>
        <v>Mladek László 
Orosz Attila 
Salga Csaba 
Simon István </v>
      </c>
      <c r="E14" s="102" t="e">
        <f>'Regisztrált névsor'!#REF!</f>
        <v>#REF!</v>
      </c>
      <c r="F14" s="103" t="e">
        <f>'Regisztrált névsor'!#REF!</f>
        <v>#REF!</v>
      </c>
      <c r="G14" s="5">
        <v>7.5</v>
      </c>
      <c r="H14" s="154">
        <f>19/3</f>
        <v>6.333333333333333</v>
      </c>
      <c r="I14" s="154">
        <f>22/3</f>
        <v>7.333333333333333</v>
      </c>
      <c r="J14" s="154">
        <f>23/3</f>
        <v>7.666666666666667</v>
      </c>
      <c r="K14" s="154">
        <f>23/3</f>
        <v>7.666666666666667</v>
      </c>
      <c r="L14" s="5">
        <v>5</v>
      </c>
      <c r="M14" s="5">
        <v>7</v>
      </c>
      <c r="N14" s="5">
        <v>7</v>
      </c>
      <c r="O14" s="157">
        <f>20/3</f>
        <v>6.666666666666667</v>
      </c>
      <c r="P14" s="6">
        <v>6</v>
      </c>
      <c r="Q14" s="5">
        <v>6</v>
      </c>
      <c r="R14" s="5">
        <v>8</v>
      </c>
      <c r="S14" s="5">
        <v>6</v>
      </c>
      <c r="T14" s="5">
        <v>5</v>
      </c>
      <c r="U14" s="5">
        <v>7</v>
      </c>
      <c r="V14" s="5">
        <v>9</v>
      </c>
      <c r="W14" s="53">
        <f t="shared" si="1"/>
        <v>6.7</v>
      </c>
      <c r="X14" s="160">
        <f t="shared" si="0"/>
        <v>68.86666666666666</v>
      </c>
      <c r="Y14" s="26">
        <f t="shared" si="2"/>
        <v>13</v>
      </c>
      <c r="AE14"/>
    </row>
    <row r="15" spans="1:31" ht="34.5" customHeight="1">
      <c r="A15" s="19">
        <v>11</v>
      </c>
      <c r="B15" s="14" t="s">
        <v>17</v>
      </c>
      <c r="C15" s="91" t="str">
        <f>'Regisztrált névsor'!C14</f>
        <v>Kecskeméti Főiskola GAMF Kar                    6000 Kecskemét                Izsáki u.10</v>
      </c>
      <c r="D15" s="89" t="str">
        <f>'Regisztrált névsor'!D14</f>
        <v>Kajla Barna 
Dugár Zsolt 
Mécs Miklós 
Barabás László 
Tóth Gergely </v>
      </c>
      <c r="E15" s="102" t="e">
        <f>'Regisztrált névsor'!#REF!</f>
        <v>#REF!</v>
      </c>
      <c r="F15" s="103" t="e">
        <f>'Regisztrált névsor'!#REF!</f>
        <v>#REF!</v>
      </c>
      <c r="G15" s="5">
        <v>7.5</v>
      </c>
      <c r="H15" s="154">
        <f>21/3</f>
        <v>7</v>
      </c>
      <c r="I15" s="154">
        <f>22/3</f>
        <v>7.333333333333333</v>
      </c>
      <c r="J15" s="154">
        <f>22/3</f>
        <v>7.333333333333333</v>
      </c>
      <c r="K15" s="154">
        <f>20/3</f>
        <v>6.666666666666667</v>
      </c>
      <c r="L15" s="5">
        <v>5</v>
      </c>
      <c r="M15" s="5">
        <v>7</v>
      </c>
      <c r="N15" s="5">
        <v>7.5</v>
      </c>
      <c r="O15" s="157">
        <f>21/3</f>
        <v>7</v>
      </c>
      <c r="P15" s="6">
        <v>6</v>
      </c>
      <c r="Q15" s="5">
        <v>6</v>
      </c>
      <c r="R15" s="5">
        <v>5</v>
      </c>
      <c r="S15" s="5">
        <v>9</v>
      </c>
      <c r="T15" s="5">
        <v>6</v>
      </c>
      <c r="U15" s="5">
        <v>7</v>
      </c>
      <c r="V15" s="5">
        <v>9</v>
      </c>
      <c r="W15" s="53">
        <f t="shared" si="1"/>
        <v>6.9</v>
      </c>
      <c r="X15" s="160">
        <f t="shared" si="0"/>
        <v>69.23333333333333</v>
      </c>
      <c r="Y15" s="26">
        <f t="shared" si="2"/>
        <v>12</v>
      </c>
      <c r="AE15"/>
    </row>
    <row r="16" spans="1:31" ht="34.5" customHeight="1">
      <c r="A16" s="19">
        <v>12</v>
      </c>
      <c r="B16" s="14" t="s">
        <v>19</v>
      </c>
      <c r="C16" s="92" t="str">
        <f>'Regisztrált névsor'!C15</f>
        <v>Budapest Műszaki és Gazgaságtudományi Egyetem                          1111 Budapest         Műegyetem rkp.7-9.</v>
      </c>
      <c r="D16" s="89" t="str">
        <f>'Regisztrált névsor'!D15</f>
        <v>Házy Gergely István 
Ercsey Gergely </v>
      </c>
      <c r="E16" s="102" t="e">
        <f>'Regisztrált névsor'!#REF!</f>
        <v>#REF!</v>
      </c>
      <c r="F16" s="103" t="e">
        <f>'Regisztrált névsor'!#REF!</f>
        <v>#REF!</v>
      </c>
      <c r="G16" s="5">
        <v>7.5</v>
      </c>
      <c r="H16" s="154">
        <f>18/3</f>
        <v>6</v>
      </c>
      <c r="I16" s="154">
        <f>16/3</f>
        <v>5.333333333333333</v>
      </c>
      <c r="J16" s="154">
        <f>20/3</f>
        <v>6.666666666666667</v>
      </c>
      <c r="K16" s="154">
        <f>22/3</f>
        <v>7.333333333333333</v>
      </c>
      <c r="L16" s="5">
        <v>5</v>
      </c>
      <c r="M16" s="5">
        <v>7.5</v>
      </c>
      <c r="N16" s="5">
        <v>8</v>
      </c>
      <c r="O16" s="157">
        <f>18/3</f>
        <v>6</v>
      </c>
      <c r="P16" s="6">
        <v>6</v>
      </c>
      <c r="Q16" s="5">
        <v>7</v>
      </c>
      <c r="R16" s="5">
        <v>8</v>
      </c>
      <c r="S16" s="5">
        <v>7</v>
      </c>
      <c r="T16" s="5">
        <v>8</v>
      </c>
      <c r="U16" s="5">
        <v>6</v>
      </c>
      <c r="V16" s="5">
        <v>9</v>
      </c>
      <c r="W16" s="53">
        <f t="shared" si="1"/>
        <v>7.3</v>
      </c>
      <c r="X16" s="160">
        <f t="shared" si="0"/>
        <v>66.63333333333334</v>
      </c>
      <c r="Y16" s="26">
        <f t="shared" si="2"/>
        <v>14</v>
      </c>
      <c r="AE16"/>
    </row>
    <row r="17" spans="1:31" ht="34.5" customHeight="1">
      <c r="A17" s="19">
        <v>13</v>
      </c>
      <c r="B17" s="14" t="s">
        <v>20</v>
      </c>
      <c r="C17" s="91" t="str">
        <f>'Regisztrált névsor'!C16</f>
        <v>Nyugat Magyarországi Egyetem FMK              9400 Sopron                 Bajcsy Zs. U 4. </v>
      </c>
      <c r="D17" s="89" t="str">
        <f>'Regisztrált névsor'!D16</f>
        <v>Szíjártó Tamás 
Reisz Lajos 
Nagy Gábor </v>
      </c>
      <c r="E17" s="102" t="e">
        <f>'Regisztrált névsor'!#REF!</f>
        <v>#REF!</v>
      </c>
      <c r="F17" s="103" t="e">
        <f>'Regisztrált névsor'!#REF!</f>
        <v>#REF!</v>
      </c>
      <c r="G17" s="5">
        <v>8</v>
      </c>
      <c r="H17" s="154">
        <f>20/3</f>
        <v>6.666666666666667</v>
      </c>
      <c r="I17" s="154">
        <f>19/3</f>
        <v>6.333333333333333</v>
      </c>
      <c r="J17" s="154">
        <f>21/3</f>
        <v>7</v>
      </c>
      <c r="K17" s="154">
        <f>18/3</f>
        <v>6</v>
      </c>
      <c r="L17" s="5">
        <v>5</v>
      </c>
      <c r="M17" s="5">
        <v>8</v>
      </c>
      <c r="N17" s="5">
        <v>9</v>
      </c>
      <c r="O17" s="157">
        <f>18/3</f>
        <v>6</v>
      </c>
      <c r="P17" s="6">
        <v>7</v>
      </c>
      <c r="Q17" s="5">
        <v>7</v>
      </c>
      <c r="R17" s="5">
        <v>6</v>
      </c>
      <c r="S17" s="5">
        <v>7</v>
      </c>
      <c r="T17" s="5">
        <v>8</v>
      </c>
      <c r="U17" s="5">
        <v>6</v>
      </c>
      <c r="V17" s="5">
        <v>10</v>
      </c>
      <c r="W17" s="53">
        <f t="shared" si="1"/>
        <v>7.3</v>
      </c>
      <c r="X17" s="160">
        <f t="shared" si="0"/>
        <v>69.3</v>
      </c>
      <c r="Y17" s="26">
        <f t="shared" si="2"/>
        <v>11</v>
      </c>
      <c r="AE17"/>
    </row>
    <row r="18" spans="1:31" ht="34.5" customHeight="1">
      <c r="A18" s="19">
        <v>14</v>
      </c>
      <c r="B18" s="14" t="s">
        <v>22</v>
      </c>
      <c r="C18" s="92" t="str">
        <f>'Regisztrált névsor'!C17</f>
        <v>Budapest Műszaki és Gazgaságtudományi Egyetem                          1111 Budapest            Műegyetem rkp.3.</v>
      </c>
      <c r="D18" s="89" t="str">
        <f>'Regisztrált névsor'!D17</f>
        <v>Székely Imre Levente 
Bolla Dániel 
Kis Levente Róbert 
Jánosi András </v>
      </c>
      <c r="E18" s="102" t="e">
        <f>'Regisztrált névsor'!#REF!</f>
        <v>#REF!</v>
      </c>
      <c r="F18" s="103" t="e">
        <f>'Regisztrált névsor'!#REF!</f>
        <v>#REF!</v>
      </c>
      <c r="G18" s="5">
        <v>10</v>
      </c>
      <c r="H18" s="154">
        <f>22/3</f>
        <v>7.333333333333333</v>
      </c>
      <c r="I18" s="154">
        <f>24/3</f>
        <v>8</v>
      </c>
      <c r="J18" s="154">
        <f>23/3</f>
        <v>7.666666666666667</v>
      </c>
      <c r="K18" s="154">
        <f>22/3</f>
        <v>7.333333333333333</v>
      </c>
      <c r="L18" s="5">
        <v>5</v>
      </c>
      <c r="M18" s="5">
        <v>8</v>
      </c>
      <c r="N18" s="5">
        <v>9.5</v>
      </c>
      <c r="O18" s="157">
        <f>20/3</f>
        <v>6.666666666666667</v>
      </c>
      <c r="P18" s="6">
        <v>8</v>
      </c>
      <c r="Q18" s="5">
        <v>7</v>
      </c>
      <c r="R18" s="5">
        <v>8</v>
      </c>
      <c r="S18" s="5">
        <v>7</v>
      </c>
      <c r="T18" s="5">
        <v>7</v>
      </c>
      <c r="U18" s="5">
        <v>6</v>
      </c>
      <c r="V18" s="5">
        <v>10</v>
      </c>
      <c r="W18" s="53">
        <f t="shared" si="1"/>
        <v>7.6</v>
      </c>
      <c r="X18" s="160">
        <f t="shared" si="0"/>
        <v>77.1</v>
      </c>
      <c r="Y18" s="26">
        <f t="shared" si="2"/>
        <v>4</v>
      </c>
      <c r="AE18"/>
    </row>
    <row r="19" spans="1:31" ht="34.5" customHeight="1">
      <c r="A19" s="19">
        <v>15</v>
      </c>
      <c r="B19" s="15" t="s">
        <v>38</v>
      </c>
      <c r="C19" s="91" t="str">
        <f>'Regisztrált névsor'!C18</f>
        <v>Szent István Egyetem Gépészmérnöki Kar                         2100 Gödöllő                     Páter Károly u 1.</v>
      </c>
      <c r="D19" s="89" t="str">
        <f>'Regisztrált névsor'!D18</f>
        <v>Merk Ádám 
Sóti Róbert 
Molnár Tamás 
Turay Tamás </v>
      </c>
      <c r="E19" s="102" t="e">
        <f>'Regisztrált névsor'!#REF!</f>
        <v>#REF!</v>
      </c>
      <c r="F19" s="103" t="e">
        <f>'Regisztrált névsor'!#REF!</f>
        <v>#REF!</v>
      </c>
      <c r="G19" s="5">
        <v>9</v>
      </c>
      <c r="H19" s="154">
        <f>23/3</f>
        <v>7.666666666666667</v>
      </c>
      <c r="I19" s="154">
        <f>23/3</f>
        <v>7.666666666666667</v>
      </c>
      <c r="J19" s="154">
        <f>22/3</f>
        <v>7.333333333333333</v>
      </c>
      <c r="K19" s="154">
        <f>24/3</f>
        <v>8</v>
      </c>
      <c r="L19" s="5">
        <v>5</v>
      </c>
      <c r="M19" s="5">
        <v>8.5</v>
      </c>
      <c r="N19" s="5">
        <v>8.5</v>
      </c>
      <c r="O19" s="157">
        <f>25/3</f>
        <v>8.333333333333334</v>
      </c>
      <c r="P19" s="6">
        <v>8</v>
      </c>
      <c r="Q19" s="5">
        <v>6</v>
      </c>
      <c r="R19" s="5">
        <v>8</v>
      </c>
      <c r="S19" s="5">
        <v>8</v>
      </c>
      <c r="T19" s="5">
        <v>5</v>
      </c>
      <c r="U19" s="5">
        <v>8</v>
      </c>
      <c r="V19" s="5">
        <v>9</v>
      </c>
      <c r="W19" s="53">
        <f t="shared" si="1"/>
        <v>7.4</v>
      </c>
      <c r="X19" s="160">
        <f t="shared" si="0"/>
        <v>77.4</v>
      </c>
      <c r="Y19" s="26">
        <f t="shared" si="2"/>
        <v>3</v>
      </c>
      <c r="AE19"/>
    </row>
    <row r="20" spans="1:31" ht="34.5" customHeight="1">
      <c r="A20" s="152">
        <v>16</v>
      </c>
      <c r="B20" s="168" t="s">
        <v>36</v>
      </c>
      <c r="C20" s="166" t="e">
        <f>'Regisztrált névsor'!#REF!</f>
        <v>#REF!</v>
      </c>
      <c r="D20" s="167" t="e">
        <f>'Regisztrált névsor'!#REF!</f>
        <v>#REF!</v>
      </c>
      <c r="E20" s="176" t="e">
        <f>'Regisztrált névsor'!#REF!</f>
        <v>#REF!</v>
      </c>
      <c r="F20" s="177" t="e">
        <f>'Regisztrált névsor'!#REF!</f>
        <v>#REF!</v>
      </c>
      <c r="G20" s="178">
        <v>0</v>
      </c>
      <c r="H20" s="179">
        <v>0</v>
      </c>
      <c r="I20" s="179">
        <v>0</v>
      </c>
      <c r="J20" s="179">
        <v>0</v>
      </c>
      <c r="K20" s="179">
        <v>0</v>
      </c>
      <c r="L20" s="178">
        <v>0</v>
      </c>
      <c r="M20" s="178">
        <v>0</v>
      </c>
      <c r="N20" s="178">
        <v>0</v>
      </c>
      <c r="O20" s="180">
        <v>0</v>
      </c>
      <c r="P20" s="181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53">
        <f t="shared" si="1"/>
        <v>0</v>
      </c>
      <c r="X20" s="160">
        <f t="shared" si="0"/>
        <v>0</v>
      </c>
      <c r="Y20" s="26">
        <f t="shared" si="2"/>
        <v>17</v>
      </c>
      <c r="AE20"/>
    </row>
    <row r="21" spans="1:31" ht="34.5" customHeight="1">
      <c r="A21" s="19">
        <v>17</v>
      </c>
      <c r="B21" s="14" t="s">
        <v>24</v>
      </c>
      <c r="C21" s="91" t="str">
        <f>'Regisztrált névsor'!C19</f>
        <v>Szent István Egyetem Gépészmérnöki Kar                         2100 Gödöllő                     Páter Károly u 1.</v>
      </c>
      <c r="D21" s="89" t="str">
        <f>'Regisztrált névsor'!D19</f>
        <v>Richter Balázs  
Mokánszki Ferenc  
Farkas Dániel                
Szilágyi Gábor  </v>
      </c>
      <c r="E21" s="102" t="e">
        <f>'Regisztrált névsor'!#REF!</f>
        <v>#REF!</v>
      </c>
      <c r="F21" s="103" t="e">
        <f>'Regisztrált névsor'!#REF!</f>
        <v>#REF!</v>
      </c>
      <c r="G21" s="5">
        <v>10</v>
      </c>
      <c r="H21" s="154">
        <f>19/3</f>
        <v>6.333333333333333</v>
      </c>
      <c r="I21" s="154">
        <f>17/3</f>
        <v>5.666666666666667</v>
      </c>
      <c r="J21" s="154">
        <f>19/3</f>
        <v>6.333333333333333</v>
      </c>
      <c r="K21" s="154">
        <f>21/3</f>
        <v>7</v>
      </c>
      <c r="L21" s="5">
        <v>10</v>
      </c>
      <c r="M21" s="5">
        <v>6.5</v>
      </c>
      <c r="N21" s="5">
        <v>10</v>
      </c>
      <c r="O21" s="157">
        <f>17/3</f>
        <v>5.666666666666667</v>
      </c>
      <c r="P21" s="6">
        <v>10</v>
      </c>
      <c r="Q21" s="5">
        <v>6</v>
      </c>
      <c r="R21" s="5">
        <v>7</v>
      </c>
      <c r="S21" s="5">
        <v>7</v>
      </c>
      <c r="T21" s="5">
        <v>6</v>
      </c>
      <c r="U21" s="5">
        <v>5</v>
      </c>
      <c r="V21" s="5">
        <v>9</v>
      </c>
      <c r="W21" s="53">
        <f t="shared" si="1"/>
        <v>7.1</v>
      </c>
      <c r="X21" s="160">
        <f t="shared" si="0"/>
        <v>74.6</v>
      </c>
      <c r="Y21" s="26">
        <f t="shared" si="2"/>
        <v>6</v>
      </c>
      <c r="AE21"/>
    </row>
    <row r="22" spans="1:31" ht="34.5" customHeight="1" thickBot="1">
      <c r="A22" s="20">
        <v>18</v>
      </c>
      <c r="B22" s="17" t="s">
        <v>34</v>
      </c>
      <c r="C22" s="93" t="str">
        <f>'Regisztrált névsor'!C20</f>
        <v>Széchenyi István Egyetem                       9026 Győr                 Egyetem tér 1</v>
      </c>
      <c r="D22" s="90" t="str">
        <f>'Regisztrált névsor'!D20</f>
        <v>Léber Szabolcs 
Mészáros Attila 
Szentgyörgyi Oszkár 
Szétag Renáta </v>
      </c>
      <c r="E22" s="104" t="e">
        <f>'Regisztrált névsor'!#REF!</f>
        <v>#REF!</v>
      </c>
      <c r="F22" s="105" t="e">
        <f>'Regisztrált névsor'!#REF!</f>
        <v>#REF!</v>
      </c>
      <c r="G22" s="8">
        <v>7</v>
      </c>
      <c r="H22" s="155">
        <f>21/3</f>
        <v>7</v>
      </c>
      <c r="I22" s="155">
        <f>26/3</f>
        <v>8.666666666666666</v>
      </c>
      <c r="J22" s="155">
        <f>15/3</f>
        <v>5</v>
      </c>
      <c r="K22" s="155">
        <f>25/3</f>
        <v>8.333333333333334</v>
      </c>
      <c r="L22" s="8">
        <v>5</v>
      </c>
      <c r="M22" s="8">
        <v>7.5</v>
      </c>
      <c r="N22" s="8">
        <v>8</v>
      </c>
      <c r="O22" s="158">
        <f>25/3</f>
        <v>8.333333333333334</v>
      </c>
      <c r="P22" s="7">
        <v>7</v>
      </c>
      <c r="Q22" s="8">
        <v>9</v>
      </c>
      <c r="R22" s="8">
        <v>7</v>
      </c>
      <c r="S22" s="8">
        <v>8</v>
      </c>
      <c r="T22" s="8">
        <v>9</v>
      </c>
      <c r="U22" s="8">
        <v>8</v>
      </c>
      <c r="V22" s="8">
        <v>9</v>
      </c>
      <c r="W22" s="54">
        <f t="shared" si="1"/>
        <v>8.1</v>
      </c>
      <c r="X22" s="161">
        <f t="shared" si="0"/>
        <v>72.93333333333332</v>
      </c>
      <c r="Y22" s="27">
        <f t="shared" si="2"/>
        <v>8</v>
      </c>
      <c r="AE2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</sheetData>
  <sheetProtection password="EF3C" sheet="1" objects="1" scenarios="1"/>
  <mergeCells count="4">
    <mergeCell ref="G3:O3"/>
    <mergeCell ref="P3:W3"/>
    <mergeCell ref="X3:X4"/>
    <mergeCell ref="Y3:Y4"/>
  </mergeCells>
  <conditionalFormatting sqref="Y5:Y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6" r:id="rId1"/>
  <ignoredErrors>
    <ignoredError sqref="K10 I21 K17 I7 H11" formula="1"/>
    <ignoredError sqref="W13:X13 W20:X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75" zoomScaleNormal="75" workbookViewId="0" topLeftCell="A1">
      <pane xSplit="6" ySplit="4" topLeftCell="Q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6" sqref="B6"/>
    </sheetView>
  </sheetViews>
  <sheetFormatPr defaultColWidth="9.140625" defaultRowHeight="12.75"/>
  <cols>
    <col min="1" max="1" width="11.7109375" style="0" customWidth="1"/>
    <col min="2" max="2" width="23.421875" style="0" bestFit="1" customWidth="1"/>
    <col min="3" max="3" width="22.421875" style="0" hidden="1" customWidth="1"/>
    <col min="4" max="4" width="19.57421875" style="0" hidden="1" customWidth="1"/>
    <col min="5" max="5" width="20.00390625" style="0" hidden="1" customWidth="1"/>
    <col min="6" max="6" width="17.57421875" style="0" hidden="1" customWidth="1"/>
    <col min="7" max="7" width="25.421875" style="0" customWidth="1"/>
    <col min="8" max="8" width="20.8515625" style="0" customWidth="1"/>
    <col min="9" max="9" width="12.8515625" style="0" customWidth="1"/>
    <col min="10" max="10" width="13.57421875" style="0" customWidth="1"/>
    <col min="11" max="11" width="12.8515625" style="0" customWidth="1"/>
    <col min="12" max="12" width="19.421875" style="0" customWidth="1"/>
    <col min="13" max="17" width="17.00390625" style="0" customWidth="1"/>
    <col min="18" max="18" width="13.421875" style="0" customWidth="1"/>
    <col min="19" max="19" width="20.140625" style="0" customWidth="1"/>
    <col min="20" max="20" width="14.8515625" style="0" customWidth="1"/>
    <col min="21" max="21" width="18.7109375" style="0" customWidth="1"/>
    <col min="22" max="22" width="16.8515625" style="0" customWidth="1"/>
    <col min="23" max="23" width="19.00390625" style="65" hidden="1" customWidth="1"/>
    <col min="24" max="24" width="18.7109375" style="0" hidden="1" customWidth="1"/>
  </cols>
  <sheetData>
    <row r="1" spans="7:20" ht="12.75">
      <c r="G1" s="64" t="s">
        <v>67</v>
      </c>
      <c r="L1" t="s">
        <v>62</v>
      </c>
      <c r="M1">
        <v>50</v>
      </c>
      <c r="S1" t="s">
        <v>65</v>
      </c>
      <c r="T1">
        <v>50</v>
      </c>
    </row>
    <row r="2" spans="12:20" ht="12.75">
      <c r="L2" t="s">
        <v>63</v>
      </c>
      <c r="M2">
        <v>5</v>
      </c>
      <c r="S2" t="s">
        <v>66</v>
      </c>
      <c r="T2">
        <v>5</v>
      </c>
    </row>
    <row r="3" spans="12:22" ht="13.5" thickBot="1">
      <c r="L3" t="s">
        <v>64</v>
      </c>
      <c r="M3" s="55">
        <v>0</v>
      </c>
      <c r="S3" t="s">
        <v>64</v>
      </c>
      <c r="T3" s="55">
        <v>0</v>
      </c>
      <c r="U3" s="69"/>
      <c r="V3" s="69"/>
    </row>
    <row r="4" spans="1:24" ht="49.5" customHeight="1" thickBot="1" thickTop="1">
      <c r="A4" s="85" t="s">
        <v>37</v>
      </c>
      <c r="B4" s="94" t="s">
        <v>0</v>
      </c>
      <c r="C4" s="97" t="s">
        <v>1</v>
      </c>
      <c r="D4" s="98" t="s">
        <v>2</v>
      </c>
      <c r="E4" s="98" t="s">
        <v>5</v>
      </c>
      <c r="F4" s="99" t="s">
        <v>3</v>
      </c>
      <c r="G4" s="23" t="s">
        <v>43</v>
      </c>
      <c r="H4" s="24" t="s">
        <v>39</v>
      </c>
      <c r="I4" s="31" t="s">
        <v>49</v>
      </c>
      <c r="J4" s="32" t="s">
        <v>50</v>
      </c>
      <c r="K4" s="32" t="s">
        <v>48</v>
      </c>
      <c r="L4" s="32" t="s">
        <v>40</v>
      </c>
      <c r="M4" s="33" t="s">
        <v>44</v>
      </c>
      <c r="N4" s="44" t="s">
        <v>61</v>
      </c>
      <c r="O4" s="45" t="s">
        <v>47</v>
      </c>
      <c r="P4" s="60" t="s">
        <v>80</v>
      </c>
      <c r="Q4" s="45" t="s">
        <v>47</v>
      </c>
      <c r="R4" s="48" t="s">
        <v>60</v>
      </c>
      <c r="S4" s="49" t="s">
        <v>41</v>
      </c>
      <c r="T4" s="70" t="s">
        <v>45</v>
      </c>
      <c r="U4" s="185" t="s">
        <v>46</v>
      </c>
      <c r="V4" s="186" t="s">
        <v>42</v>
      </c>
      <c r="W4" s="72" t="s">
        <v>68</v>
      </c>
      <c r="X4" s="68" t="s">
        <v>69</v>
      </c>
    </row>
    <row r="5" spans="1:24" ht="34.5" customHeight="1" thickTop="1">
      <c r="A5" s="18">
        <v>1</v>
      </c>
      <c r="B5" s="13" t="s">
        <v>4</v>
      </c>
      <c r="C5" s="95" t="str">
        <f>'Regisztrált névsor'!C5</f>
        <v>Miskolci Egyetem Gépészmérnöki Kar         3515 Miskolc-Egyetemváros</v>
      </c>
      <c r="D5" s="96" t="str">
        <f>'Regisztrált névsor'!D5</f>
        <v>Kelemen László Attila 
Szűcs László 
Koncsik Tamás 
Szenczi Gábor </v>
      </c>
      <c r="E5" s="100" t="e">
        <f>'Regisztrált névsor'!#REF!</f>
        <v>#REF!</v>
      </c>
      <c r="F5" s="101" t="e">
        <f>'Regisztrált névsor'!#REF!</f>
        <v>#REF!</v>
      </c>
      <c r="G5" s="162">
        <f>Műszaki!X5</f>
        <v>72.76666666666665</v>
      </c>
      <c r="H5" s="28">
        <f aca="true" t="shared" si="0" ref="H5:H20">RANK(G5,$G$5:$G$20)</f>
        <v>9</v>
      </c>
      <c r="I5" s="37">
        <v>0</v>
      </c>
      <c r="J5" s="38">
        <v>0</v>
      </c>
      <c r="K5" s="39" t="str">
        <f>IF((I5+J5=0),"n.a.",I5*60+J5)</f>
        <v>n.a.</v>
      </c>
      <c r="L5" s="40" t="str">
        <f aca="true" t="shared" si="1" ref="L5:L20">IF(K5="n.a.",$L$3,RANK(K5,$K$5:$K$20,1))</f>
        <v>Nem teljesített</v>
      </c>
      <c r="M5" s="52">
        <f aca="true" t="shared" si="2" ref="M5:M20">IF(K5="n.a.",0,IF(K5=MIN(K$5:K$20),$M$1,IF(K5=MAX(K$5:K$20),$M$2,ROUND(($M$1-((K5-MIN(K$5:K$20))*($M$1-$M$2)/(MAX(K$5:K$20)-MIN(K$5:K$20)))),1))))</f>
        <v>0</v>
      </c>
      <c r="N5" s="46"/>
      <c r="O5" s="28">
        <f aca="true" t="shared" si="3" ref="O5:O20">RANK(N5,$N$5:$N$20)</f>
        <v>14</v>
      </c>
      <c r="P5" s="61"/>
      <c r="Q5" s="28" t="e">
        <f aca="true" t="shared" si="4" ref="Q5:Q20">RANK(P5,$P$5:$P$20,0)</f>
        <v>#N/A</v>
      </c>
      <c r="R5" s="11" t="s">
        <v>106</v>
      </c>
      <c r="S5" s="40" t="str">
        <f aca="true" t="shared" si="5" ref="S5:S20">IF(OR(R5="",R5="n.a."),$S$3,RANK(R5,$R$5:$R$20,0))</f>
        <v>Nem teljesített</v>
      </c>
      <c r="T5" s="71">
        <f aca="true" t="shared" si="6" ref="T5:T20">IF(OR(R5="",R5="n.a."),$T$3,IF(R5=MAX(R$5:R$20),$T$1,IF(R5=MIN(R$5:R$20),$T$2,ROUND(($T$1-((MAX(R$5:R$20)-R5)/(MAX(R$5:R$20)-MIN(R$5:R$20))*($T$1-$T$2))),1))))</f>
        <v>0</v>
      </c>
      <c r="U5" s="187">
        <f>G5+M5+T5</f>
        <v>72.76666666666665</v>
      </c>
      <c r="V5" s="188">
        <f>RANK(U5,$U$5:$U$20)</f>
        <v>16</v>
      </c>
      <c r="W5" s="73" t="str">
        <f>IF(AND(S5&lt;&gt;$S$3,L5&lt;&gt;$L$3),S5+L5,"Nem teljesített")</f>
        <v>Nem teljesített</v>
      </c>
      <c r="X5" s="25" t="str">
        <f aca="true" t="shared" si="7" ref="X5:X20">IF(W5="Nem teljesített","Nem teljesített",RANK(W5,W$5:W$20,1))</f>
        <v>Nem teljesített</v>
      </c>
    </row>
    <row r="6" spans="1:24" ht="34.5" customHeight="1">
      <c r="A6" s="19">
        <v>2</v>
      </c>
      <c r="B6" s="14" t="s">
        <v>7</v>
      </c>
      <c r="C6" s="91" t="str">
        <f>'Regisztrált névsor'!C6</f>
        <v>Miskolci Egyetem Gépészmérnöki Kar          3515 Miskolc-Egyetemváros</v>
      </c>
      <c r="D6" s="89" t="str">
        <f>'Regisztrált névsor'!D6</f>
        <v>Bodnár Zsolt  
Szathmári Zoltán 
Molnár Miklós 
Márkus Csaba </v>
      </c>
      <c r="E6" s="102" t="e">
        <f>'Regisztrált névsor'!#REF!</f>
        <v>#REF!</v>
      </c>
      <c r="F6" s="103" t="e">
        <f>'Regisztrált névsor'!#REF!</f>
        <v>#REF!</v>
      </c>
      <c r="G6" s="163">
        <f>Műszaki!X6</f>
        <v>80.6</v>
      </c>
      <c r="H6" s="29">
        <f t="shared" si="0"/>
        <v>2</v>
      </c>
      <c r="I6" s="21">
        <v>1</v>
      </c>
      <c r="J6" s="34">
        <v>18.59</v>
      </c>
      <c r="K6" s="35">
        <f aca="true" t="shared" si="8" ref="K6:K20">IF((I6+J6=0),"n.a.",I6*60+J6)</f>
        <v>78.59</v>
      </c>
      <c r="L6" s="36">
        <f t="shared" si="1"/>
        <v>10</v>
      </c>
      <c r="M6" s="56">
        <f t="shared" si="2"/>
        <v>32.8</v>
      </c>
      <c r="N6" s="47">
        <v>13.51</v>
      </c>
      <c r="O6" s="29">
        <f t="shared" si="3"/>
        <v>12</v>
      </c>
      <c r="P6" s="62">
        <v>105.1</v>
      </c>
      <c r="Q6" s="29">
        <f t="shared" si="4"/>
        <v>3</v>
      </c>
      <c r="R6" s="3">
        <v>1029</v>
      </c>
      <c r="S6" s="36">
        <f t="shared" si="5"/>
        <v>13</v>
      </c>
      <c r="T6" s="75">
        <f t="shared" si="6"/>
        <v>11.5</v>
      </c>
      <c r="U6" s="189">
        <f aca="true" t="shared" si="9" ref="U6:U20">G6+M6+T6</f>
        <v>124.89999999999999</v>
      </c>
      <c r="V6" s="190">
        <f aca="true" t="shared" si="10" ref="V6:V20">RANK(U6,$U$5:$U$20,0)</f>
        <v>9</v>
      </c>
      <c r="W6" s="74">
        <f>IF(AND(S6&lt;&gt;$S$3,L6&lt;&gt;$L$3),S6+L6,"Nem teljesített")</f>
        <v>23</v>
      </c>
      <c r="X6" s="66">
        <f t="shared" si="7"/>
        <v>13</v>
      </c>
    </row>
    <row r="7" spans="1:24" ht="34.5" customHeight="1">
      <c r="A7" s="19">
        <v>3</v>
      </c>
      <c r="B7" s="14" t="s">
        <v>6</v>
      </c>
      <c r="C7" s="92" t="str">
        <f>'Regisztrált névsor'!C7</f>
        <v>Budapest Műszaki és Gazgaságtudományi Egyetem                          1111 Budapest       Műegyetem rkp.3.</v>
      </c>
      <c r="D7" s="89" t="str">
        <f>'Regisztrált névsor'!D7</f>
        <v>Büdi Lóránt 
Németh István 
Rákos Attila 
Varga Balázs </v>
      </c>
      <c r="E7" s="102" t="e">
        <f>'Regisztrált névsor'!#REF!</f>
        <v>#REF!</v>
      </c>
      <c r="F7" s="103" t="e">
        <f>'Regisztrált névsor'!#REF!</f>
        <v>#REF!</v>
      </c>
      <c r="G7" s="163">
        <f>Műszaki!X7</f>
        <v>87.13333333333334</v>
      </c>
      <c r="H7" s="29">
        <f t="shared" si="0"/>
        <v>1</v>
      </c>
      <c r="I7" s="21">
        <v>1</v>
      </c>
      <c r="J7" s="34">
        <v>57.81</v>
      </c>
      <c r="K7" s="35">
        <f t="shared" si="8"/>
        <v>117.81</v>
      </c>
      <c r="L7" s="36">
        <f t="shared" si="1"/>
        <v>13</v>
      </c>
      <c r="M7" s="56">
        <f t="shared" si="2"/>
        <v>5</v>
      </c>
      <c r="N7" s="47">
        <v>20.7</v>
      </c>
      <c r="O7" s="29">
        <f t="shared" si="3"/>
        <v>6</v>
      </c>
      <c r="P7" s="62">
        <v>93.6</v>
      </c>
      <c r="Q7" s="29">
        <f t="shared" si="4"/>
        <v>10</v>
      </c>
      <c r="R7" s="3">
        <v>3856</v>
      </c>
      <c r="S7" s="36">
        <f t="shared" si="5"/>
        <v>3</v>
      </c>
      <c r="T7" s="75">
        <f t="shared" si="6"/>
        <v>29.4</v>
      </c>
      <c r="U7" s="189">
        <f t="shared" si="9"/>
        <v>121.53333333333333</v>
      </c>
      <c r="V7" s="190">
        <f t="shared" si="10"/>
        <v>10</v>
      </c>
      <c r="W7" s="74">
        <f>IF(AND(S7&lt;&gt;$S$3,L7&lt;&gt;$L$3),S7+L7,"Nem teljesített")</f>
        <v>16</v>
      </c>
      <c r="X7" s="66">
        <f t="shared" si="7"/>
        <v>8</v>
      </c>
    </row>
    <row r="8" spans="1:24" ht="34.5" customHeight="1">
      <c r="A8" s="19">
        <v>4</v>
      </c>
      <c r="B8" s="14" t="s">
        <v>25</v>
      </c>
      <c r="C8" s="91" t="str">
        <f>'Regisztrált névsor'!C8</f>
        <v>Miskolci Egyetem Gépészmérnöki Kar        3515 Miskolc-Egyetemváros</v>
      </c>
      <c r="D8" s="89" t="str">
        <f>'Regisztrált névsor'!D8</f>
        <v>Recski Péter 
Erdős Ferenc Zsolt      
Veres Tamás 
Zámbó Péter </v>
      </c>
      <c r="E8" s="102" t="e">
        <f>'Regisztrált névsor'!#REF!</f>
        <v>#REF!</v>
      </c>
      <c r="F8" s="103" t="e">
        <f>'Regisztrált névsor'!#REF!</f>
        <v>#REF!</v>
      </c>
      <c r="G8" s="163">
        <f>Műszaki!X8</f>
        <v>65.06666666666666</v>
      </c>
      <c r="H8" s="29">
        <f t="shared" si="0"/>
        <v>15</v>
      </c>
      <c r="I8" s="21">
        <v>1</v>
      </c>
      <c r="J8" s="34">
        <v>4.93</v>
      </c>
      <c r="K8" s="35">
        <f t="shared" si="8"/>
        <v>64.93</v>
      </c>
      <c r="L8" s="36">
        <f t="shared" si="1"/>
        <v>8</v>
      </c>
      <c r="M8" s="56">
        <f t="shared" si="2"/>
        <v>42.5</v>
      </c>
      <c r="N8" s="47">
        <v>17.81</v>
      </c>
      <c r="O8" s="29">
        <f t="shared" si="3"/>
        <v>8</v>
      </c>
      <c r="P8" s="62">
        <v>87.3</v>
      </c>
      <c r="Q8" s="29">
        <f t="shared" si="4"/>
        <v>13</v>
      </c>
      <c r="R8" s="3">
        <v>1263</v>
      </c>
      <c r="S8" s="36">
        <f t="shared" si="5"/>
        <v>11</v>
      </c>
      <c r="T8" s="75">
        <f t="shared" si="6"/>
        <v>13</v>
      </c>
      <c r="U8" s="189">
        <f t="shared" si="9"/>
        <v>120.56666666666666</v>
      </c>
      <c r="V8" s="190">
        <f t="shared" si="10"/>
        <v>11</v>
      </c>
      <c r="W8" s="74">
        <f aca="true" t="shared" si="11" ref="W8:W20">IF(AND(S8&lt;&gt;$S$3,L8&lt;&gt;$L$3),S8+L8,"Nem teljesített")</f>
        <v>19</v>
      </c>
      <c r="X8" s="66">
        <f t="shared" si="7"/>
        <v>9</v>
      </c>
    </row>
    <row r="9" spans="1:24" ht="34.5" customHeight="1">
      <c r="A9" s="19">
        <v>5</v>
      </c>
      <c r="B9" s="14" t="s">
        <v>35</v>
      </c>
      <c r="C9" s="91" t="str">
        <f>'Regisztrált névsor'!C9</f>
        <v>Debreceni Egyetem    AMTC-MK                      4028 Debrecen     Ótemető u. 2-4</v>
      </c>
      <c r="D9" s="89" t="str">
        <f>'Regisztrált névsor'!D9</f>
        <v>Török Zoltán   
Szaifert Péter  
Vass Domonkos  
Mudra Zsolt </v>
      </c>
      <c r="E9" s="102" t="e">
        <f>'Regisztrált névsor'!#REF!</f>
        <v>#REF!</v>
      </c>
      <c r="F9" s="103" t="e">
        <f>'Regisztrált névsor'!#REF!</f>
        <v>#REF!</v>
      </c>
      <c r="G9" s="163">
        <f>Műszaki!X9</f>
        <v>64.26666666666667</v>
      </c>
      <c r="H9" s="29">
        <f t="shared" si="0"/>
        <v>16</v>
      </c>
      <c r="I9" s="21">
        <v>0</v>
      </c>
      <c r="J9" s="34">
        <v>56.97</v>
      </c>
      <c r="K9" s="35">
        <f t="shared" si="8"/>
        <v>56.97</v>
      </c>
      <c r="L9" s="36">
        <f t="shared" si="1"/>
        <v>2</v>
      </c>
      <c r="M9" s="56">
        <f t="shared" si="2"/>
        <v>48.2</v>
      </c>
      <c r="N9" s="47">
        <v>24.2</v>
      </c>
      <c r="O9" s="29">
        <f t="shared" si="3"/>
        <v>2</v>
      </c>
      <c r="P9" s="62">
        <v>80</v>
      </c>
      <c r="Q9" s="29">
        <f t="shared" si="4"/>
        <v>14</v>
      </c>
      <c r="R9" s="3">
        <v>7117.5</v>
      </c>
      <c r="S9" s="36">
        <f t="shared" si="5"/>
        <v>1</v>
      </c>
      <c r="T9" s="75">
        <f t="shared" si="6"/>
        <v>50</v>
      </c>
      <c r="U9" s="189">
        <f t="shared" si="9"/>
        <v>162.46666666666667</v>
      </c>
      <c r="V9" s="190">
        <f t="shared" si="10"/>
        <v>1</v>
      </c>
      <c r="W9" s="74">
        <f t="shared" si="11"/>
        <v>3</v>
      </c>
      <c r="X9" s="66">
        <f t="shared" si="7"/>
        <v>1</v>
      </c>
    </row>
    <row r="10" spans="1:24" ht="34.5" customHeight="1">
      <c r="A10" s="19">
        <v>6</v>
      </c>
      <c r="B10" s="15" t="s">
        <v>9</v>
      </c>
      <c r="C10" s="91" t="str">
        <f>'Regisztrált névsor'!C10</f>
        <v>Dunaújvárosi Főiskola       2400 Dunaújváros       Táncsics Mihály u.1/A</v>
      </c>
      <c r="D10" s="89" t="str">
        <f>'Regisztrált névsor'!D10</f>
        <v>Vidók Csaba 
László Gábor 
Tóth Gergely 
Varga András </v>
      </c>
      <c r="E10" s="102" t="e">
        <f>'Regisztrált névsor'!#REF!</f>
        <v>#REF!</v>
      </c>
      <c r="F10" s="103" t="e">
        <f>'Regisztrált névsor'!#REF!</f>
        <v>#REF!</v>
      </c>
      <c r="G10" s="163">
        <f>Műszaki!X10</f>
        <v>74.6</v>
      </c>
      <c r="H10" s="29">
        <f t="shared" si="0"/>
        <v>6</v>
      </c>
      <c r="I10" s="21">
        <v>1</v>
      </c>
      <c r="J10" s="34">
        <v>1.67</v>
      </c>
      <c r="K10" s="35">
        <f t="shared" si="8"/>
        <v>61.67</v>
      </c>
      <c r="L10" s="36">
        <f t="shared" si="1"/>
        <v>6</v>
      </c>
      <c r="M10" s="56">
        <f t="shared" si="2"/>
        <v>44.9</v>
      </c>
      <c r="N10" s="47">
        <v>18.08</v>
      </c>
      <c r="O10" s="29">
        <f t="shared" si="3"/>
        <v>7</v>
      </c>
      <c r="P10" s="62">
        <v>106.7</v>
      </c>
      <c r="Q10" s="29">
        <f t="shared" si="4"/>
        <v>2</v>
      </c>
      <c r="R10" s="3">
        <v>2249</v>
      </c>
      <c r="S10" s="36">
        <f t="shared" si="5"/>
        <v>8</v>
      </c>
      <c r="T10" s="75">
        <f t="shared" si="6"/>
        <v>19.2</v>
      </c>
      <c r="U10" s="189">
        <f t="shared" si="9"/>
        <v>138.7</v>
      </c>
      <c r="V10" s="190">
        <f t="shared" si="10"/>
        <v>4</v>
      </c>
      <c r="W10" s="74">
        <f t="shared" si="11"/>
        <v>14</v>
      </c>
      <c r="X10" s="66">
        <f t="shared" si="7"/>
        <v>7</v>
      </c>
    </row>
    <row r="11" spans="1:24" ht="34.5" customHeight="1">
      <c r="A11" s="19">
        <v>7</v>
      </c>
      <c r="B11" s="16" t="s">
        <v>27</v>
      </c>
      <c r="C11" s="91" t="str">
        <f>'Regisztrált névsor'!C11</f>
        <v>Nyíregyházi Főiskola MMFK                               4400  Nyíregyháza                   Kótaji út  9-11</v>
      </c>
      <c r="D11" s="89" t="str">
        <f>'Regisztrált névsor'!D11</f>
        <v>Frics Gábor  
Fekete Imre 
Oprics Miklós </v>
      </c>
      <c r="E11" s="102" t="e">
        <f>'Regisztrált névsor'!#REF!</f>
        <v>#REF!</v>
      </c>
      <c r="F11" s="103" t="e">
        <f>'Regisztrált névsor'!#REF!</f>
        <v>#REF!</v>
      </c>
      <c r="G11" s="163">
        <f>Műszaki!X11</f>
        <v>69.76666666666667</v>
      </c>
      <c r="H11" s="29">
        <f t="shared" si="0"/>
        <v>10</v>
      </c>
      <c r="I11" s="21">
        <v>1</v>
      </c>
      <c r="J11" s="34">
        <v>1.09</v>
      </c>
      <c r="K11" s="35">
        <f t="shared" si="8"/>
        <v>61.09</v>
      </c>
      <c r="L11" s="36">
        <f t="shared" si="1"/>
        <v>5</v>
      </c>
      <c r="M11" s="56">
        <f t="shared" si="2"/>
        <v>45.3</v>
      </c>
      <c r="N11" s="183">
        <v>20.93</v>
      </c>
      <c r="O11" s="29">
        <f t="shared" si="3"/>
        <v>5</v>
      </c>
      <c r="P11" s="62">
        <v>104.7</v>
      </c>
      <c r="Q11" s="29">
        <f t="shared" si="4"/>
        <v>4</v>
      </c>
      <c r="R11" s="3">
        <v>2387.5</v>
      </c>
      <c r="S11" s="36">
        <f t="shared" si="5"/>
        <v>6</v>
      </c>
      <c r="T11" s="75">
        <f t="shared" si="6"/>
        <v>20.1</v>
      </c>
      <c r="U11" s="189">
        <f t="shared" si="9"/>
        <v>135.16666666666666</v>
      </c>
      <c r="V11" s="190">
        <f t="shared" si="10"/>
        <v>6</v>
      </c>
      <c r="W11" s="74">
        <f t="shared" si="11"/>
        <v>11</v>
      </c>
      <c r="X11" s="66">
        <f t="shared" si="7"/>
        <v>5</v>
      </c>
    </row>
    <row r="12" spans="1:24" ht="34.5" customHeight="1">
      <c r="A12" s="19">
        <v>8</v>
      </c>
      <c r="B12" s="15" t="s">
        <v>26</v>
      </c>
      <c r="C12" s="91" t="str">
        <f>'Regisztrált névsor'!C12</f>
        <v>Miskolci Egyetem Gépészmérnöki Kar                   3515 Miskolc-Egyetemváros</v>
      </c>
      <c r="D12" s="89" t="str">
        <f>'Regisztrált névsor'!D12</f>
        <v>Lévay Márk 
Erdős Zsolt 
Fábián Sándor 
Tőzsér Ákos </v>
      </c>
      <c r="E12" s="102" t="e">
        <f>'Regisztrált névsor'!#REF!</f>
        <v>#REF!</v>
      </c>
      <c r="F12" s="103" t="e">
        <f>'Regisztrált névsor'!#REF!</f>
        <v>#REF!</v>
      </c>
      <c r="G12" s="163">
        <f>Műszaki!X12</f>
        <v>75.6</v>
      </c>
      <c r="H12" s="29">
        <f t="shared" si="0"/>
        <v>5</v>
      </c>
      <c r="I12" s="21">
        <v>0</v>
      </c>
      <c r="J12" s="34">
        <v>0</v>
      </c>
      <c r="K12" s="35" t="str">
        <f t="shared" si="8"/>
        <v>n.a.</v>
      </c>
      <c r="L12" s="36" t="str">
        <f t="shared" si="1"/>
        <v>Nem teljesített</v>
      </c>
      <c r="M12" s="56">
        <f t="shared" si="2"/>
        <v>0</v>
      </c>
      <c r="N12" s="47">
        <v>0</v>
      </c>
      <c r="O12" s="29">
        <f t="shared" si="3"/>
        <v>14</v>
      </c>
      <c r="P12" s="62">
        <v>96.3</v>
      </c>
      <c r="Q12" s="29">
        <f t="shared" si="4"/>
        <v>7</v>
      </c>
      <c r="R12" s="3" t="s">
        <v>106</v>
      </c>
      <c r="S12" s="36" t="str">
        <f t="shared" si="5"/>
        <v>Nem teljesített</v>
      </c>
      <c r="T12" s="75">
        <f t="shared" si="6"/>
        <v>0</v>
      </c>
      <c r="U12" s="189">
        <f t="shared" si="9"/>
        <v>75.6</v>
      </c>
      <c r="V12" s="190">
        <f t="shared" si="10"/>
        <v>15</v>
      </c>
      <c r="W12" s="74" t="str">
        <f t="shared" si="11"/>
        <v>Nem teljesített</v>
      </c>
      <c r="X12" s="66" t="str">
        <f t="shared" si="7"/>
        <v>Nem teljesített</v>
      </c>
    </row>
    <row r="13" spans="1:24" ht="34.5" customHeight="1">
      <c r="A13" s="19">
        <v>10</v>
      </c>
      <c r="B13" s="14" t="s">
        <v>15</v>
      </c>
      <c r="C13" s="91" t="str">
        <f>'Regisztrált névsor'!C13</f>
        <v>Budapesti Műszaki Főiskola Bánki Donát Kar             1081 Budapest                Népszínház u.8</v>
      </c>
      <c r="D13" s="89" t="str">
        <f>'Regisztrált névsor'!D13</f>
        <v>Mladek László 
Orosz Attila 
Salga Csaba 
Simon István </v>
      </c>
      <c r="E13" s="102" t="e">
        <f>'Regisztrált névsor'!#REF!</f>
        <v>#REF!</v>
      </c>
      <c r="F13" s="103" t="e">
        <f>'Regisztrált névsor'!#REF!</f>
        <v>#REF!</v>
      </c>
      <c r="G13" s="163">
        <f>Műszaki!X14</f>
        <v>68.86666666666666</v>
      </c>
      <c r="H13" s="29">
        <f t="shared" si="0"/>
        <v>13</v>
      </c>
      <c r="I13" s="21">
        <v>0</v>
      </c>
      <c r="J13" s="34">
        <v>59.61</v>
      </c>
      <c r="K13" s="35">
        <f t="shared" si="8"/>
        <v>59.61</v>
      </c>
      <c r="L13" s="36">
        <f t="shared" si="1"/>
        <v>3</v>
      </c>
      <c r="M13" s="56">
        <f t="shared" si="2"/>
        <v>46.3</v>
      </c>
      <c r="N13" s="47">
        <v>23.33</v>
      </c>
      <c r="O13" s="29">
        <f t="shared" si="3"/>
        <v>3</v>
      </c>
      <c r="P13" s="62">
        <v>87.5</v>
      </c>
      <c r="Q13" s="29">
        <f t="shared" si="4"/>
        <v>12</v>
      </c>
      <c r="R13" s="3">
        <v>2268.5</v>
      </c>
      <c r="S13" s="36">
        <f t="shared" si="5"/>
        <v>7</v>
      </c>
      <c r="T13" s="75">
        <f t="shared" si="6"/>
        <v>19.3</v>
      </c>
      <c r="U13" s="189">
        <f t="shared" si="9"/>
        <v>134.46666666666667</v>
      </c>
      <c r="V13" s="190">
        <f t="shared" si="10"/>
        <v>7</v>
      </c>
      <c r="W13" s="74">
        <f t="shared" si="11"/>
        <v>10</v>
      </c>
      <c r="X13" s="66">
        <f t="shared" si="7"/>
        <v>4</v>
      </c>
    </row>
    <row r="14" spans="1:24" ht="34.5" customHeight="1">
      <c r="A14" s="19">
        <v>11</v>
      </c>
      <c r="B14" s="14" t="s">
        <v>17</v>
      </c>
      <c r="C14" s="91" t="str">
        <f>'Regisztrált névsor'!C14</f>
        <v>Kecskeméti Főiskola GAMF Kar                    6000 Kecskemét                Izsáki u.10</v>
      </c>
      <c r="D14" s="89" t="str">
        <f>'Regisztrált névsor'!D14</f>
        <v>Kajla Barna 
Dugár Zsolt 
Mécs Miklós 
Barabás László 
Tóth Gergely </v>
      </c>
      <c r="E14" s="102" t="e">
        <f>'Regisztrált névsor'!#REF!</f>
        <v>#REF!</v>
      </c>
      <c r="F14" s="103" t="e">
        <f>'Regisztrált névsor'!#REF!</f>
        <v>#REF!</v>
      </c>
      <c r="G14" s="163">
        <f>Műszaki!X15</f>
        <v>69.23333333333333</v>
      </c>
      <c r="H14" s="29">
        <f t="shared" si="0"/>
        <v>12</v>
      </c>
      <c r="I14" s="21">
        <v>0</v>
      </c>
      <c r="J14" s="34">
        <v>54.43</v>
      </c>
      <c r="K14" s="35">
        <f t="shared" si="8"/>
        <v>54.43</v>
      </c>
      <c r="L14" s="36">
        <f t="shared" si="1"/>
        <v>1</v>
      </c>
      <c r="M14" s="56">
        <f t="shared" si="2"/>
        <v>50</v>
      </c>
      <c r="N14" s="47">
        <v>25.05</v>
      </c>
      <c r="O14" s="29">
        <f t="shared" si="3"/>
        <v>1</v>
      </c>
      <c r="P14" s="62">
        <v>94.6</v>
      </c>
      <c r="Q14" s="29">
        <f t="shared" si="4"/>
        <v>8</v>
      </c>
      <c r="R14" s="3">
        <v>2794</v>
      </c>
      <c r="S14" s="36">
        <f t="shared" si="5"/>
        <v>5</v>
      </c>
      <c r="T14" s="75">
        <f t="shared" si="6"/>
        <v>22.6</v>
      </c>
      <c r="U14" s="189">
        <f t="shared" si="9"/>
        <v>141.83333333333334</v>
      </c>
      <c r="V14" s="190">
        <f t="shared" si="10"/>
        <v>3</v>
      </c>
      <c r="W14" s="74">
        <f t="shared" si="11"/>
        <v>6</v>
      </c>
      <c r="X14" s="66">
        <f t="shared" si="7"/>
        <v>2</v>
      </c>
    </row>
    <row r="15" spans="1:24" ht="34.5" customHeight="1">
      <c r="A15" s="19">
        <v>12</v>
      </c>
      <c r="B15" s="14" t="s">
        <v>19</v>
      </c>
      <c r="C15" s="92" t="str">
        <f>'Regisztrált névsor'!C15</f>
        <v>Budapest Műszaki és Gazgaságtudományi Egyetem                          1111 Budapest         Műegyetem rkp.7-9.</v>
      </c>
      <c r="D15" s="89" t="str">
        <f>'Regisztrált névsor'!D15</f>
        <v>Házy Gergely István 
Ercsey Gergely </v>
      </c>
      <c r="E15" s="102" t="e">
        <f>'Regisztrált névsor'!#REF!</f>
        <v>#REF!</v>
      </c>
      <c r="F15" s="103" t="e">
        <f>'Regisztrált névsor'!#REF!</f>
        <v>#REF!</v>
      </c>
      <c r="G15" s="163">
        <f>Műszaki!X16</f>
        <v>66.63333333333334</v>
      </c>
      <c r="H15" s="29">
        <f t="shared" si="0"/>
        <v>14</v>
      </c>
      <c r="I15" s="21">
        <v>1</v>
      </c>
      <c r="J15" s="34">
        <v>12.71</v>
      </c>
      <c r="K15" s="35">
        <f t="shared" si="8"/>
        <v>72.71000000000001</v>
      </c>
      <c r="L15" s="36">
        <f t="shared" si="1"/>
        <v>9</v>
      </c>
      <c r="M15" s="56">
        <f t="shared" si="2"/>
        <v>37</v>
      </c>
      <c r="N15" s="47">
        <v>17.78</v>
      </c>
      <c r="O15" s="29">
        <f t="shared" si="3"/>
        <v>9</v>
      </c>
      <c r="P15" s="62">
        <v>98.5</v>
      </c>
      <c r="Q15" s="29">
        <f t="shared" si="4"/>
        <v>6</v>
      </c>
      <c r="R15" s="3">
        <v>1458</v>
      </c>
      <c r="S15" s="36">
        <f t="shared" si="5"/>
        <v>10</v>
      </c>
      <c r="T15" s="75">
        <f t="shared" si="6"/>
        <v>14.2</v>
      </c>
      <c r="U15" s="189">
        <f t="shared" si="9"/>
        <v>117.83333333333334</v>
      </c>
      <c r="V15" s="190">
        <f t="shared" si="10"/>
        <v>12</v>
      </c>
      <c r="W15" s="74">
        <f t="shared" si="11"/>
        <v>19</v>
      </c>
      <c r="X15" s="66">
        <f t="shared" si="7"/>
        <v>9</v>
      </c>
    </row>
    <row r="16" spans="1:24" ht="34.5" customHeight="1">
      <c r="A16" s="19">
        <v>13</v>
      </c>
      <c r="B16" s="14" t="s">
        <v>20</v>
      </c>
      <c r="C16" s="91" t="str">
        <f>'Regisztrált névsor'!C16</f>
        <v>Nyugat Magyarországi Egyetem FMK              9400 Sopron                 Bajcsy Zs. U 4. </v>
      </c>
      <c r="D16" s="89" t="str">
        <f>'Regisztrált névsor'!D16</f>
        <v>Szíjártó Tamás 
Reisz Lajos 
Nagy Gábor </v>
      </c>
      <c r="E16" s="102" t="e">
        <f>'Regisztrált névsor'!#REF!</f>
        <v>#REF!</v>
      </c>
      <c r="F16" s="103" t="e">
        <f>'Regisztrált névsor'!#REF!</f>
        <v>#REF!</v>
      </c>
      <c r="G16" s="163">
        <f>Műszaki!X17</f>
        <v>69.3</v>
      </c>
      <c r="H16" s="29">
        <f t="shared" si="0"/>
        <v>11</v>
      </c>
      <c r="I16" s="21">
        <v>0</v>
      </c>
      <c r="J16" s="34">
        <v>59.62</v>
      </c>
      <c r="K16" s="35">
        <f t="shared" si="8"/>
        <v>59.62</v>
      </c>
      <c r="L16" s="36">
        <f t="shared" si="1"/>
        <v>4</v>
      </c>
      <c r="M16" s="56">
        <f t="shared" si="2"/>
        <v>46.3</v>
      </c>
      <c r="N16" s="47">
        <v>21.91</v>
      </c>
      <c r="O16" s="29">
        <f t="shared" si="3"/>
        <v>4</v>
      </c>
      <c r="P16" s="62">
        <v>94.1</v>
      </c>
      <c r="Q16" s="29">
        <f t="shared" si="4"/>
        <v>9</v>
      </c>
      <c r="R16" s="3">
        <v>3491.5</v>
      </c>
      <c r="S16" s="36">
        <f t="shared" si="5"/>
        <v>4</v>
      </c>
      <c r="T16" s="75">
        <f t="shared" si="6"/>
        <v>27.1</v>
      </c>
      <c r="U16" s="189">
        <f t="shared" si="9"/>
        <v>142.7</v>
      </c>
      <c r="V16" s="190">
        <f t="shared" si="10"/>
        <v>2</v>
      </c>
      <c r="W16" s="74">
        <f t="shared" si="11"/>
        <v>8</v>
      </c>
      <c r="X16" s="66">
        <f t="shared" si="7"/>
        <v>3</v>
      </c>
    </row>
    <row r="17" spans="1:24" ht="34.5" customHeight="1">
      <c r="A17" s="19">
        <v>14</v>
      </c>
      <c r="B17" s="14" t="s">
        <v>22</v>
      </c>
      <c r="C17" s="92" t="str">
        <f>'Regisztrált névsor'!C17</f>
        <v>Budapest Műszaki és Gazgaságtudományi Egyetem                          1111 Budapest            Műegyetem rkp.3.</v>
      </c>
      <c r="D17" s="89" t="str">
        <f>'Regisztrált névsor'!D17</f>
        <v>Székely Imre Levente 
Bolla Dániel 
Kis Levente Róbert 
Jánosi András </v>
      </c>
      <c r="E17" s="102" t="e">
        <f>'Regisztrált névsor'!#REF!</f>
        <v>#REF!</v>
      </c>
      <c r="F17" s="103" t="e">
        <f>'Regisztrált névsor'!#REF!</f>
        <v>#REF!</v>
      </c>
      <c r="G17" s="163">
        <f>Műszaki!X18</f>
        <v>77.1</v>
      </c>
      <c r="H17" s="29">
        <f t="shared" si="0"/>
        <v>4</v>
      </c>
      <c r="I17" s="21">
        <v>1</v>
      </c>
      <c r="J17" s="34">
        <v>56.38</v>
      </c>
      <c r="K17" s="35">
        <f t="shared" si="8"/>
        <v>116.38</v>
      </c>
      <c r="L17" s="36">
        <f t="shared" si="1"/>
        <v>12</v>
      </c>
      <c r="M17" s="56">
        <f t="shared" si="2"/>
        <v>6</v>
      </c>
      <c r="N17" s="47">
        <v>14.05</v>
      </c>
      <c r="O17" s="29">
        <f t="shared" si="3"/>
        <v>11</v>
      </c>
      <c r="P17" s="62">
        <v>107.6</v>
      </c>
      <c r="Q17" s="29">
        <f t="shared" si="4"/>
        <v>1</v>
      </c>
      <c r="R17" s="3">
        <v>2212.5</v>
      </c>
      <c r="S17" s="36">
        <f t="shared" si="5"/>
        <v>9</v>
      </c>
      <c r="T17" s="75">
        <f t="shared" si="6"/>
        <v>19</v>
      </c>
      <c r="U17" s="189">
        <f t="shared" si="9"/>
        <v>102.1</v>
      </c>
      <c r="V17" s="190">
        <f t="shared" si="10"/>
        <v>13</v>
      </c>
      <c r="W17" s="74">
        <f t="shared" si="11"/>
        <v>21</v>
      </c>
      <c r="X17" s="66">
        <f t="shared" si="7"/>
        <v>12</v>
      </c>
    </row>
    <row r="18" spans="1:24" ht="34.5" customHeight="1">
      <c r="A18" s="19">
        <v>15</v>
      </c>
      <c r="B18" s="15" t="s">
        <v>38</v>
      </c>
      <c r="C18" s="91" t="str">
        <f>'Regisztrált névsor'!C18</f>
        <v>Szent István Egyetem Gépészmérnöki Kar                         2100 Gödöllő                     Páter Károly u 1.</v>
      </c>
      <c r="D18" s="89" t="str">
        <f>'Regisztrált névsor'!D18</f>
        <v>Merk Ádám 
Sóti Róbert 
Molnár Tamás 
Turay Tamás </v>
      </c>
      <c r="E18" s="102" t="e">
        <f>'Regisztrált névsor'!#REF!</f>
        <v>#REF!</v>
      </c>
      <c r="F18" s="103" t="e">
        <f>'Regisztrált névsor'!#REF!</f>
        <v>#REF!</v>
      </c>
      <c r="G18" s="163">
        <f>Műszaki!X19</f>
        <v>77.4</v>
      </c>
      <c r="H18" s="29">
        <f t="shared" si="0"/>
        <v>3</v>
      </c>
      <c r="I18" s="21"/>
      <c r="J18" s="34"/>
      <c r="K18" s="35" t="str">
        <f t="shared" si="8"/>
        <v>n.a.</v>
      </c>
      <c r="L18" s="36" t="str">
        <f t="shared" si="1"/>
        <v>Nem teljesített</v>
      </c>
      <c r="M18" s="56">
        <f t="shared" si="2"/>
        <v>0</v>
      </c>
      <c r="N18" s="47"/>
      <c r="O18" s="29">
        <f t="shared" si="3"/>
        <v>14</v>
      </c>
      <c r="P18" s="62"/>
      <c r="Q18" s="29" t="e">
        <f t="shared" si="4"/>
        <v>#N/A</v>
      </c>
      <c r="R18" s="3">
        <v>5</v>
      </c>
      <c r="S18" s="36">
        <f t="shared" si="5"/>
        <v>14</v>
      </c>
      <c r="T18" s="75">
        <f t="shared" si="6"/>
        <v>5</v>
      </c>
      <c r="U18" s="189">
        <f t="shared" si="9"/>
        <v>82.4</v>
      </c>
      <c r="V18" s="190">
        <f t="shared" si="10"/>
        <v>14</v>
      </c>
      <c r="W18" s="74" t="str">
        <f t="shared" si="11"/>
        <v>Nem teljesített</v>
      </c>
      <c r="X18" s="66" t="str">
        <f t="shared" si="7"/>
        <v>Nem teljesített</v>
      </c>
    </row>
    <row r="19" spans="1:24" ht="34.5" customHeight="1">
      <c r="A19" s="19">
        <v>17</v>
      </c>
      <c r="B19" s="14" t="s">
        <v>24</v>
      </c>
      <c r="C19" s="91" t="str">
        <f>'Regisztrált névsor'!C19</f>
        <v>Szent István Egyetem Gépészmérnöki Kar                         2100 Gödöllő                     Páter Károly u 1.</v>
      </c>
      <c r="D19" s="89" t="str">
        <f>'Regisztrált névsor'!D19</f>
        <v>Richter Balázs  
Mokánszki Ferenc  
Farkas Dániel                
Szilágyi Gábor  </v>
      </c>
      <c r="E19" s="102" t="e">
        <f>'Regisztrált névsor'!#REF!</f>
        <v>#REF!</v>
      </c>
      <c r="F19" s="103" t="e">
        <f>'Regisztrált névsor'!#REF!</f>
        <v>#REF!</v>
      </c>
      <c r="G19" s="163">
        <f>Műszaki!X21</f>
        <v>74.6</v>
      </c>
      <c r="H19" s="29">
        <f t="shared" si="0"/>
        <v>6</v>
      </c>
      <c r="I19" s="21">
        <v>1</v>
      </c>
      <c r="J19" s="34">
        <v>19.1</v>
      </c>
      <c r="K19" s="35">
        <f t="shared" si="8"/>
        <v>79.1</v>
      </c>
      <c r="L19" s="36">
        <f t="shared" si="1"/>
        <v>11</v>
      </c>
      <c r="M19" s="56">
        <f t="shared" si="2"/>
        <v>32.5</v>
      </c>
      <c r="N19" s="47">
        <v>15.57</v>
      </c>
      <c r="O19" s="29">
        <f t="shared" si="3"/>
        <v>10</v>
      </c>
      <c r="P19" s="62">
        <v>92.5</v>
      </c>
      <c r="Q19" s="29">
        <f t="shared" si="4"/>
        <v>11</v>
      </c>
      <c r="R19" s="3">
        <v>4063.5</v>
      </c>
      <c r="S19" s="36">
        <f t="shared" si="5"/>
        <v>2</v>
      </c>
      <c r="T19" s="75">
        <f t="shared" si="6"/>
        <v>30.7</v>
      </c>
      <c r="U19" s="189">
        <f t="shared" si="9"/>
        <v>137.79999999999998</v>
      </c>
      <c r="V19" s="190">
        <f t="shared" si="10"/>
        <v>5</v>
      </c>
      <c r="W19" s="74">
        <f t="shared" si="11"/>
        <v>13</v>
      </c>
      <c r="X19" s="66">
        <f t="shared" si="7"/>
        <v>6</v>
      </c>
    </row>
    <row r="20" spans="1:24" ht="34.5" customHeight="1" thickBot="1">
      <c r="A20" s="20">
        <v>18</v>
      </c>
      <c r="B20" s="17" t="s">
        <v>34</v>
      </c>
      <c r="C20" s="93" t="str">
        <f>'Regisztrált névsor'!C20</f>
        <v>Széchenyi István Egyetem                       9026 Győr                 Egyetem tér 1</v>
      </c>
      <c r="D20" s="90" t="str">
        <f>'Regisztrált névsor'!D20</f>
        <v>Léber Szabolcs 
Mészáros Attila 
Szentgyörgyi Oszkár 
Szétag Renáta </v>
      </c>
      <c r="E20" s="104" t="e">
        <f>'Regisztrált névsor'!#REF!</f>
        <v>#REF!</v>
      </c>
      <c r="F20" s="105" t="e">
        <f>'Regisztrált névsor'!#REF!</f>
        <v>#REF!</v>
      </c>
      <c r="G20" s="164">
        <f>Műszaki!X22</f>
        <v>72.93333333333332</v>
      </c>
      <c r="H20" s="30">
        <f t="shared" si="0"/>
        <v>8</v>
      </c>
      <c r="I20" s="22">
        <v>1</v>
      </c>
      <c r="J20" s="41">
        <v>4.65</v>
      </c>
      <c r="K20" s="42">
        <f t="shared" si="8"/>
        <v>64.65</v>
      </c>
      <c r="L20" s="43">
        <f t="shared" si="1"/>
        <v>7</v>
      </c>
      <c r="M20" s="57">
        <f t="shared" si="2"/>
        <v>42.7</v>
      </c>
      <c r="N20" s="182">
        <v>0.7597222222222223</v>
      </c>
      <c r="O20" s="30">
        <f t="shared" si="3"/>
        <v>13</v>
      </c>
      <c r="P20" s="63">
        <v>98.7</v>
      </c>
      <c r="Q20" s="30">
        <f t="shared" si="4"/>
        <v>5</v>
      </c>
      <c r="R20" s="4">
        <v>1052.5</v>
      </c>
      <c r="S20" s="43">
        <f t="shared" si="5"/>
        <v>12</v>
      </c>
      <c r="T20" s="76">
        <f t="shared" si="6"/>
        <v>11.6</v>
      </c>
      <c r="U20" s="191">
        <f t="shared" si="9"/>
        <v>127.23333333333332</v>
      </c>
      <c r="V20" s="192">
        <f t="shared" si="10"/>
        <v>8</v>
      </c>
      <c r="W20" s="77">
        <f t="shared" si="11"/>
        <v>19</v>
      </c>
      <c r="X20" s="67">
        <f t="shared" si="7"/>
        <v>9</v>
      </c>
    </row>
    <row r="26" spans="1:2" ht="12.75">
      <c r="A26" s="58"/>
      <c r="B26" s="58"/>
    </row>
    <row r="27" spans="1:2" ht="12.75">
      <c r="A27" s="59"/>
      <c r="B27" s="59"/>
    </row>
    <row r="28" spans="1:2" ht="12.75">
      <c r="A28" s="59"/>
      <c r="B28" s="59"/>
    </row>
    <row r="29" spans="1:2" ht="12.75">
      <c r="A29" s="59"/>
      <c r="B29" s="59"/>
    </row>
    <row r="30" spans="1:2" ht="12.75">
      <c r="A30" s="59"/>
      <c r="B30" s="59"/>
    </row>
    <row r="31" spans="1:2" ht="12.75">
      <c r="A31" s="59"/>
      <c r="B31" s="59"/>
    </row>
    <row r="32" spans="1:2" ht="12.75">
      <c r="A32" s="59"/>
      <c r="B32" s="59"/>
    </row>
    <row r="33" spans="1:2" ht="12.75">
      <c r="A33" s="59"/>
      <c r="B33" s="59"/>
    </row>
    <row r="34" spans="1:2" ht="12.75">
      <c r="A34" s="59"/>
      <c r="B34" s="59"/>
    </row>
    <row r="35" spans="1:2" ht="12.75">
      <c r="A35" s="59"/>
      <c r="B35" s="59"/>
    </row>
    <row r="36" spans="1:2" ht="12.75">
      <c r="A36" s="59"/>
      <c r="B36" s="59"/>
    </row>
    <row r="37" spans="1:2" ht="12.75">
      <c r="A37" s="59"/>
      <c r="B37" s="59"/>
    </row>
    <row r="38" spans="1:2" ht="12.75">
      <c r="A38" s="59"/>
      <c r="B38" s="59"/>
    </row>
    <row r="39" spans="1:2" ht="12.75">
      <c r="A39" s="59"/>
      <c r="B39" s="59"/>
    </row>
    <row r="40" spans="1:2" ht="12.75">
      <c r="A40" s="59"/>
      <c r="B40" s="59"/>
    </row>
    <row r="41" spans="1:2" ht="12.75">
      <c r="A41" s="59"/>
      <c r="B41" s="59"/>
    </row>
    <row r="42" spans="1:2" ht="12.75">
      <c r="A42" s="59"/>
      <c r="B42" s="59"/>
    </row>
    <row r="43" spans="1:2" ht="12.75">
      <c r="A43" s="59"/>
      <c r="B43" s="59"/>
    </row>
    <row r="44" spans="1:2" ht="12.75">
      <c r="A44" s="59"/>
      <c r="B44" s="59"/>
    </row>
    <row r="45" spans="1:2" ht="12.75">
      <c r="A45" s="59"/>
      <c r="B45" s="59"/>
    </row>
  </sheetData>
  <sheetProtection password="EF3C" sheet="1" objects="1" scenarios="1"/>
  <conditionalFormatting sqref="H5:H20 V5:V20 O5:O20 L5:L20 Q5:Q20 S5:S20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X5:X20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printOptions/>
  <pageMargins left="0.75" right="0.75" top="1" bottom="1" header="0.5" footer="0.5"/>
  <pageSetup fitToHeight="3" fitToWidth="1"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80" zoomScaleNormal="80" workbookViewId="0" topLeftCell="A8">
      <selection activeCell="A14" sqref="A14"/>
    </sheetView>
  </sheetViews>
  <sheetFormatPr defaultColWidth="9.140625" defaultRowHeight="12.75"/>
  <cols>
    <col min="1" max="1" width="22.8515625" style="0" customWidth="1"/>
    <col min="2" max="2" width="28.8515625" style="0" customWidth="1"/>
    <col min="3" max="3" width="32.140625" style="0" customWidth="1"/>
    <col min="4" max="4" width="27.00390625" style="0" bestFit="1" customWidth="1"/>
    <col min="5" max="5" width="23.57421875" style="175" customWidth="1"/>
  </cols>
  <sheetData>
    <row r="1" s="1" customFormat="1" ht="12.75">
      <c r="E1" s="169"/>
    </row>
    <row r="2" spans="1:5" s="1" customFormat="1" ht="12.75">
      <c r="A2" s="137" t="s">
        <v>81</v>
      </c>
      <c r="E2" s="169"/>
    </row>
    <row r="3" s="1" customFormat="1" ht="13.5" thickBot="1">
      <c r="E3" s="169"/>
    </row>
    <row r="4" spans="1:5" s="1" customFormat="1" ht="13.5" thickBot="1">
      <c r="A4" s="135" t="s">
        <v>82</v>
      </c>
      <c r="B4" s="135" t="s">
        <v>83</v>
      </c>
      <c r="C4" s="135" t="s">
        <v>99</v>
      </c>
      <c r="D4" s="136" t="s">
        <v>84</v>
      </c>
      <c r="E4" s="170" t="s">
        <v>85</v>
      </c>
    </row>
    <row r="5" spans="1:5" s="1" customFormat="1" ht="77.25" thickBot="1">
      <c r="A5" s="124">
        <v>1</v>
      </c>
      <c r="B5" s="125" t="s">
        <v>86</v>
      </c>
      <c r="C5" s="126" t="s">
        <v>100</v>
      </c>
      <c r="D5" s="127" t="str">
        <f>INDEX(Összes!$B$5:$B$20,MATCH(A5,Összes!$V$5:$V$20,0),1)</f>
        <v>DE-AMTC, Debrecen</v>
      </c>
      <c r="E5" s="172" t="str">
        <f>VLOOKUP(D5,'Regisztrált névsor'!$B$5:$D$20,3,FALSE)</f>
        <v>Török Zoltán   
Szaifert Péter  
Vass Domonkos  
Mudra Zsolt </v>
      </c>
    </row>
    <row r="6" spans="1:5" s="1" customFormat="1" ht="64.5" thickBot="1">
      <c r="A6" s="128">
        <v>2</v>
      </c>
      <c r="B6" s="129" t="s">
        <v>87</v>
      </c>
      <c r="C6" s="130" t="s">
        <v>101</v>
      </c>
      <c r="D6" s="127" t="str">
        <f>INDEX(Összes!$B$5:$B$20,MATCH(A6,Összes!$V$5:$V$20,0),1)</f>
        <v>SziRéNa TS</v>
      </c>
      <c r="E6" s="172" t="str">
        <f>VLOOKUP(D6,'Regisztrált névsor'!$B$5:$D$20,3,FALSE)</f>
        <v>Szíjártó Tamás 
Reisz Lajos 
Nagy Gábor </v>
      </c>
    </row>
    <row r="7" spans="1:5" s="1" customFormat="1" ht="64.5" thickBot="1">
      <c r="A7" s="131">
        <v>3</v>
      </c>
      <c r="B7" s="132" t="s">
        <v>88</v>
      </c>
      <c r="C7" s="133" t="s">
        <v>102</v>
      </c>
      <c r="D7" s="134" t="str">
        <f>INDEX(Összes!$B$5:$B$20,MATCH(A7,Összes!$V$5:$V$20,0),1)</f>
        <v>GAMF SZPSZ</v>
      </c>
      <c r="E7" s="172" t="str">
        <f>VLOOKUP(D7,'Regisztrált névsor'!$B$5:$D$20,3,FALSE)</f>
        <v>Kajla Barna 
Dugár Zsolt 
Mécs Miklós 
Barabás László 
Tóth Gergely </v>
      </c>
    </row>
    <row r="8" s="1" customFormat="1" ht="12.75">
      <c r="E8" s="169"/>
    </row>
    <row r="9" s="1" customFormat="1" ht="12.75">
      <c r="E9" s="169"/>
    </row>
    <row r="10" spans="1:5" s="1" customFormat="1" ht="12.75">
      <c r="A10" s="138" t="s">
        <v>104</v>
      </c>
      <c r="B10" s="139"/>
      <c r="E10" s="169"/>
    </row>
    <row r="11" s="1" customFormat="1" ht="13.5" thickBot="1">
      <c r="E11" s="169"/>
    </row>
    <row r="12" spans="1:5" s="1" customFormat="1" ht="13.5" thickBot="1">
      <c r="A12" s="140" t="s">
        <v>82</v>
      </c>
      <c r="B12" s="140" t="s">
        <v>83</v>
      </c>
      <c r="C12" s="140" t="s">
        <v>89</v>
      </c>
      <c r="D12" s="141" t="s">
        <v>84</v>
      </c>
      <c r="E12" s="171" t="s">
        <v>85</v>
      </c>
    </row>
    <row r="13" spans="1:5" s="1" customFormat="1" ht="51.75" thickBot="1">
      <c r="A13" s="111">
        <v>1</v>
      </c>
      <c r="B13" s="115" t="s">
        <v>90</v>
      </c>
      <c r="C13" s="114" t="s">
        <v>91</v>
      </c>
      <c r="D13" s="109" t="str">
        <f>INDEX(Összes!$B$5:$B$20,MATCH(A13,Összes!$H$5:$H$20,0),1)</f>
        <v>GYALOGKAKUKK</v>
      </c>
      <c r="E13" s="172" t="str">
        <f>VLOOKUP(D13,'Regisztrált névsor'!$B$5:$D$20,3,FALSE)</f>
        <v>Büdi Lóránt 
Németh István 
Rákos Attila 
Varga Balázs </v>
      </c>
    </row>
    <row r="14" spans="1:5" s="1" customFormat="1" ht="51.75" thickBot="1">
      <c r="A14" s="112">
        <v>2</v>
      </c>
      <c r="B14" s="117" t="s">
        <v>92</v>
      </c>
      <c r="C14" s="116" t="s">
        <v>91</v>
      </c>
      <c r="D14" s="109" t="str">
        <f>INDEX(Összes!$B$5:$B$20,MATCH(A14,Összes!$H$5:$H$20,0),1)</f>
        <v>ZM-BT</v>
      </c>
      <c r="E14" s="172" t="str">
        <f>VLOOKUP(D14,'Regisztrált névsor'!$B$5:$D$20,3,FALSE)</f>
        <v>Bodnár Zsolt  
Szathmári Zoltán 
Molnár Miklós 
Márkus Csaba </v>
      </c>
    </row>
    <row r="15" spans="1:5" s="1" customFormat="1" ht="51.75" thickBot="1">
      <c r="A15" s="113">
        <v>3</v>
      </c>
      <c r="B15" s="119" t="s">
        <v>92</v>
      </c>
      <c r="C15" s="118" t="s">
        <v>91</v>
      </c>
      <c r="D15" s="110" t="str">
        <f>INDEX(Összes!$B$5:$B$20,MATCH(A15,Összes!$H$5:$H$20,0),1)</f>
        <v>PNEURÁJDER 
( SZIE-GÉK I. )</v>
      </c>
      <c r="E15" s="172" t="str">
        <f>VLOOKUP(D15,'Regisztrált névsor'!$B$5:$D$20,3,FALSE)</f>
        <v>Merk Ádám 
Sóti Róbert 
Molnár Tamás 
Turay Tamás </v>
      </c>
    </row>
    <row r="16" s="1" customFormat="1" ht="12.75">
      <c r="E16" s="169"/>
    </row>
    <row r="17" s="1" customFormat="1" ht="12.75">
      <c r="E17" s="169"/>
    </row>
    <row r="18" spans="1:5" s="1" customFormat="1" ht="12.75">
      <c r="A18" s="142" t="s">
        <v>93</v>
      </c>
      <c r="E18" s="169"/>
    </row>
    <row r="19" s="1" customFormat="1" ht="13.5" thickBot="1">
      <c r="E19" s="169"/>
    </row>
    <row r="20" spans="1:5" s="1" customFormat="1" ht="13.5" thickBot="1">
      <c r="A20" s="143" t="s">
        <v>82</v>
      </c>
      <c r="B20" s="143" t="s">
        <v>83</v>
      </c>
      <c r="C20" s="143" t="s">
        <v>89</v>
      </c>
      <c r="D20" s="144" t="s">
        <v>84</v>
      </c>
      <c r="E20" s="173" t="s">
        <v>85</v>
      </c>
    </row>
    <row r="21" spans="1:5" s="1" customFormat="1" ht="64.5" thickBot="1">
      <c r="A21" s="111">
        <v>1</v>
      </c>
      <c r="B21" s="115" t="s">
        <v>90</v>
      </c>
      <c r="C21" s="114" t="s">
        <v>91</v>
      </c>
      <c r="D21" s="109" t="str">
        <f>INDEX(Összes!$B$5:$B$20,MATCH(A21,Összes!$L$5:$L$20,0),1)</f>
        <v>GAMF SZPSZ</v>
      </c>
      <c r="E21" s="172" t="str">
        <f>VLOOKUP(D21,'Regisztrált névsor'!$B$5:$D$20,3,FALSE)</f>
        <v>Kajla Barna 
Dugár Zsolt 
Mécs Miklós 
Barabás László 
Tóth Gergely </v>
      </c>
    </row>
    <row r="22" spans="1:5" s="1" customFormat="1" ht="51.75" thickBot="1">
      <c r="A22" s="112">
        <v>2</v>
      </c>
      <c r="B22" s="117" t="s">
        <v>92</v>
      </c>
      <c r="C22" s="116" t="s">
        <v>91</v>
      </c>
      <c r="D22" s="109" t="str">
        <f>INDEX(Összes!$B$5:$B$20,MATCH(A22,Összes!$L$5:$L$20,0),1)</f>
        <v>DE-AMTC, Debrecen</v>
      </c>
      <c r="E22" s="172" t="str">
        <f>VLOOKUP(D22,'Regisztrált névsor'!$B$5:$D$20,3,FALSE)</f>
        <v>Török Zoltán   
Szaifert Péter  
Vass Domonkos  
Mudra Zsolt </v>
      </c>
    </row>
    <row r="23" spans="1:5" s="1" customFormat="1" ht="51.75" thickBot="1">
      <c r="A23" s="113">
        <v>3</v>
      </c>
      <c r="B23" s="119" t="s">
        <v>92</v>
      </c>
      <c r="C23" s="118" t="s">
        <v>91</v>
      </c>
      <c r="D23" s="110" t="str">
        <f>INDEX(Összes!$B$5:$B$20,MATCH(A23,Összes!$L$5:$L$20,0),1)</f>
        <v>AIRBAG CAR</v>
      </c>
      <c r="E23" s="172" t="str">
        <f>VLOOKUP(D23,'Regisztrált névsor'!$B$5:$D$20,3,FALSE)</f>
        <v>Mladek László 
Orosz Attila 
Salga Csaba 
Simon István </v>
      </c>
    </row>
    <row r="24" s="1" customFormat="1" ht="12.75">
      <c r="E24" s="169"/>
    </row>
    <row r="25" s="1" customFormat="1" ht="12.75">
      <c r="E25" s="169"/>
    </row>
    <row r="26" spans="1:5" s="1" customFormat="1" ht="12.75">
      <c r="A26" s="145" t="s">
        <v>94</v>
      </c>
      <c r="E26" s="169"/>
    </row>
    <row r="27" s="1" customFormat="1" ht="13.5" thickBot="1">
      <c r="E27" s="169"/>
    </row>
    <row r="28" spans="1:5" s="1" customFormat="1" ht="13.5" thickBot="1">
      <c r="A28" s="146" t="s">
        <v>82</v>
      </c>
      <c r="B28" s="146" t="s">
        <v>83</v>
      </c>
      <c r="C28" s="146" t="s">
        <v>89</v>
      </c>
      <c r="D28" s="147" t="s">
        <v>84</v>
      </c>
      <c r="E28" s="174" t="s">
        <v>85</v>
      </c>
    </row>
    <row r="29" spans="1:5" s="1" customFormat="1" ht="51.75" thickBot="1">
      <c r="A29" s="111">
        <v>1</v>
      </c>
      <c r="B29" s="115" t="s">
        <v>90</v>
      </c>
      <c r="C29" s="114" t="s">
        <v>91</v>
      </c>
      <c r="D29" s="109" t="str">
        <f>INDEX(Összes!$B$5:$B$20,MATCH(A29,Összes!$S$5:$S$20,0),1)</f>
        <v>DE-AMTC, Debrecen</v>
      </c>
      <c r="E29" s="172" t="str">
        <f>VLOOKUP(D29,'Regisztrált névsor'!$B$5:$D$20,3,FALSE)</f>
        <v>Török Zoltán   
Szaifert Péter  
Vass Domonkos  
Mudra Zsolt </v>
      </c>
    </row>
    <row r="30" spans="1:5" s="1" customFormat="1" ht="51.75" thickBot="1">
      <c r="A30" s="112">
        <v>2</v>
      </c>
      <c r="B30" s="117" t="s">
        <v>92</v>
      </c>
      <c r="C30" s="116" t="s">
        <v>91</v>
      </c>
      <c r="D30" s="109" t="str">
        <f>INDEX(Összes!$B$5:$B$20,MATCH(A30,Összes!$S$5:$S$20,0),1)</f>
        <v>Csitíri Mobile</v>
      </c>
      <c r="E30" s="172" t="str">
        <f>VLOOKUP(D30,'Regisztrált névsor'!$B$5:$D$20,3,FALSE)</f>
        <v>Richter Balázs  
Mokánszki Ferenc  
Farkas Dániel                
Szilágyi Gábor  </v>
      </c>
    </row>
    <row r="31" spans="1:5" s="1" customFormat="1" ht="51.75" thickBot="1">
      <c r="A31" s="113">
        <v>3</v>
      </c>
      <c r="B31" s="119" t="s">
        <v>92</v>
      </c>
      <c r="C31" s="118" t="s">
        <v>91</v>
      </c>
      <c r="D31" s="110" t="str">
        <f>INDEX(Összes!$B$5:$B$20,MATCH(A31,Összes!$S$5:$S$20,0),1)</f>
        <v>GYALOGKAKUKK</v>
      </c>
      <c r="E31" s="172" t="str">
        <f>VLOOKUP(D31,'Regisztrált névsor'!$B$5:$D$20,3,FALSE)</f>
        <v>Büdi Lóránt 
Németh István 
Rákos Attila 
Varga Balázs </v>
      </c>
    </row>
    <row r="32" s="1" customFormat="1" ht="12.75">
      <c r="E32" s="169"/>
    </row>
    <row r="33" s="1" customFormat="1" ht="12.75">
      <c r="E33" s="169"/>
    </row>
    <row r="34" spans="1:5" s="1" customFormat="1" ht="12.75">
      <c r="A34" s="148" t="s">
        <v>103</v>
      </c>
      <c r="E34" s="169"/>
    </row>
    <row r="35" s="1" customFormat="1" ht="13.5" thickBot="1">
      <c r="E35" s="169"/>
    </row>
    <row r="36" spans="1:5" s="1" customFormat="1" ht="13.5" thickBot="1">
      <c r="A36" s="149" t="s">
        <v>82</v>
      </c>
      <c r="B36" s="149" t="s">
        <v>89</v>
      </c>
      <c r="C36" s="150" t="s">
        <v>84</v>
      </c>
      <c r="D36" s="184" t="s">
        <v>85</v>
      </c>
      <c r="E36" s="169"/>
    </row>
    <row r="37" spans="1:5" s="1" customFormat="1" ht="64.5" thickBot="1">
      <c r="A37" s="120">
        <v>1</v>
      </c>
      <c r="B37" s="121" t="s">
        <v>105</v>
      </c>
      <c r="C37" s="123" t="str">
        <f>INDEX(Összes!$B$5:$B$20,MATCH(A37,Összes!$O$5:$O$20,0),1)</f>
        <v>GAMF SZPSZ</v>
      </c>
      <c r="D37" s="172" t="str">
        <f>VLOOKUP(C37,'Regisztrált névsor'!$B$5:$D$20,3,FALSE)</f>
        <v>Kajla Barna 
Dugár Zsolt 
Mécs Miklós 
Barabás László 
Tóth Gergely </v>
      </c>
      <c r="E37" s="169"/>
    </row>
    <row r="38" spans="4:5" s="1" customFormat="1" ht="12.75">
      <c r="D38" s="169"/>
      <c r="E38" s="169"/>
    </row>
    <row r="39" spans="4:5" s="1" customFormat="1" ht="12.75">
      <c r="D39" s="169"/>
      <c r="E39" s="169"/>
    </row>
    <row r="40" spans="1:5" s="1" customFormat="1" ht="12.75">
      <c r="A40" s="148" t="s">
        <v>95</v>
      </c>
      <c r="B40" s="151"/>
      <c r="D40" s="169"/>
      <c r="E40" s="169"/>
    </row>
    <row r="41" spans="4:5" s="1" customFormat="1" ht="13.5" thickBot="1">
      <c r="D41" s="169"/>
      <c r="E41" s="169"/>
    </row>
    <row r="42" spans="1:5" s="1" customFormat="1" ht="13.5" thickBot="1">
      <c r="A42" s="149" t="s">
        <v>82</v>
      </c>
      <c r="B42" s="149" t="s">
        <v>96</v>
      </c>
      <c r="C42" s="150" t="s">
        <v>84</v>
      </c>
      <c r="D42" s="184" t="s">
        <v>85</v>
      </c>
      <c r="E42" s="169"/>
    </row>
    <row r="43" spans="1:5" s="1" customFormat="1" ht="51.75" thickBot="1">
      <c r="A43" s="120">
        <v>1</v>
      </c>
      <c r="B43" s="121" t="s">
        <v>97</v>
      </c>
      <c r="C43" s="123" t="str">
        <f>INDEX(Összes!$B$5:$B$20,MATCH(A43,Összes!$Q$5:$Q$20,0),1)</f>
        <v>Villanyos</v>
      </c>
      <c r="D43" s="172" t="str">
        <f>VLOOKUP(C43,'Regisztrált névsor'!$B$5:$D$20,3,FALSE)</f>
        <v>Székely Imre Levente 
Bolla Dániel 
Kis Levente Róbert 
Jánosi András </v>
      </c>
      <c r="E43" s="169"/>
    </row>
    <row r="44" spans="1:5" s="1" customFormat="1" ht="12.75">
      <c r="A44" s="86"/>
      <c r="B44" s="86"/>
      <c r="C44" s="86"/>
      <c r="D44" s="87"/>
      <c r="E44" s="169"/>
    </row>
    <row r="45" spans="1:5" s="1" customFormat="1" ht="12.75">
      <c r="A45" s="86"/>
      <c r="B45" s="86"/>
      <c r="C45" s="86"/>
      <c r="D45" s="87"/>
      <c r="E45" s="169"/>
    </row>
    <row r="46" spans="1:5" s="1" customFormat="1" ht="12.75">
      <c r="A46" s="88" t="s">
        <v>98</v>
      </c>
      <c r="B46" s="86"/>
      <c r="C46" s="86"/>
      <c r="D46" s="87"/>
      <c r="E46" s="169"/>
    </row>
    <row r="47" s="1" customFormat="1" ht="13.5" thickBot="1">
      <c r="E47" s="169"/>
    </row>
    <row r="48" spans="1:5" s="1" customFormat="1" ht="13.5" thickBot="1">
      <c r="A48" s="122" t="s">
        <v>96</v>
      </c>
      <c r="E48" s="169"/>
    </row>
    <row r="49" spans="1:5" s="1" customFormat="1" ht="12.75">
      <c r="A49" s="108" t="s">
        <v>90</v>
      </c>
      <c r="E49" s="169"/>
    </row>
    <row r="50" spans="1:5" s="1" customFormat="1" ht="12.75">
      <c r="A50" s="106"/>
      <c r="E50" s="169"/>
    </row>
    <row r="51" spans="1:5" s="1" customFormat="1" ht="12.75">
      <c r="A51" s="106"/>
      <c r="E51" s="169"/>
    </row>
    <row r="52" spans="1:5" s="1" customFormat="1" ht="13.5" thickBot="1">
      <c r="A52" s="107"/>
      <c r="E52" s="169"/>
    </row>
  </sheetData>
  <sheetProtection password="EF3C" sheet="1" objects="1" scenarios="1"/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Rexroth Pneumatika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endrtama</dc:creator>
  <cp:keywords/>
  <dc:description/>
  <cp:lastModifiedBy>Csillag Zsuzsanna</cp:lastModifiedBy>
  <cp:lastPrinted>2008-05-17T15:05:36Z</cp:lastPrinted>
  <dcterms:created xsi:type="dcterms:W3CDTF">2008-02-21T08:37:03Z</dcterms:created>
  <dcterms:modified xsi:type="dcterms:W3CDTF">2008-06-04T13:49:15Z</dcterms:modified>
  <cp:category/>
  <cp:version/>
  <cp:contentType/>
  <cp:contentStatus/>
</cp:coreProperties>
</file>